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Data\Documents\Good Shepherd\55 plus\Training Workshops\Office\Excel\May 2025\Demo Files\"/>
    </mc:Choice>
  </mc:AlternateContent>
  <xr:revisionPtr revIDLastSave="0" documentId="8_{4ADACAAD-91C8-435E-A4BA-9B6BADB6C0F0}" xr6:coauthVersionLast="47" xr6:coauthVersionMax="47" xr10:uidLastSave="{00000000-0000-0000-0000-000000000000}"/>
  <bookViews>
    <workbookView xWindow="-26145" yWindow="555" windowWidth="21600" windowHeight="11295" activeTab="2" xr2:uid="{00000000-000D-0000-FFFF-FFFF00000000}"/>
  </bookViews>
  <sheets>
    <sheet name="Name &amp; Add 1" sheetId="5" r:id="rId1"/>
    <sheet name="Name &amp; Add 2" sheetId="4" r:id="rId2"/>
    <sheet name="Trim" sheetId="3" r:id="rId3"/>
    <sheet name="Summary" sheetId="2" r:id="rId4"/>
    <sheet name="Baseinfo" sheetId="1" r:id="rId5"/>
    <sheet name="Expense 1" sheetId="9" r:id="rId6"/>
    <sheet name="Expense 2" sheetId="8" r:id="rId7"/>
    <sheet name="MacroDemo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8" l="1"/>
  <c r="E10" i="8"/>
  <c r="E9" i="8"/>
  <c r="E8" i="8"/>
  <c r="C11" i="8"/>
  <c r="C10" i="8"/>
  <c r="C9" i="8"/>
  <c r="C8" i="8"/>
  <c r="I9" i="9"/>
  <c r="G9" i="9"/>
  <c r="I8" i="9"/>
  <c r="G8" i="9"/>
  <c r="I7" i="9"/>
  <c r="G7" i="9"/>
  <c r="I6" i="9"/>
  <c r="I11" i="9" s="1"/>
  <c r="G6" i="9"/>
  <c r="E6" i="8" l="1"/>
  <c r="C6" i="8"/>
  <c r="G11" i="9"/>
  <c r="O21" i="1" l="1"/>
  <c r="O22" i="1"/>
  <c r="J10" i="4" l="1"/>
  <c r="J9" i="4"/>
  <c r="J8" i="4"/>
  <c r="J7" i="4"/>
  <c r="J6" i="4"/>
  <c r="J5" i="4"/>
  <c r="J4" i="4"/>
  <c r="K15" i="1" l="1"/>
  <c r="D16" i="2" s="1"/>
  <c r="K17" i="1"/>
  <c r="K18" i="1" s="1"/>
  <c r="D17" i="2" s="1"/>
  <c r="K11" i="1" a="1"/>
  <c r="K11" i="1" s="1"/>
  <c r="D15" i="2" s="1"/>
  <c r="J21" i="1"/>
  <c r="G16" i="2"/>
  <c r="F16" i="2"/>
  <c r="N15" i="1" a="1"/>
  <c r="N15" i="1" s="1"/>
  <c r="M18" i="1" a="1"/>
  <c r="M18" i="1"/>
  <c r="F17" i="2" s="1"/>
  <c r="N18" i="1" a="1"/>
  <c r="N18" i="1" s="1"/>
  <c r="G17" i="2" s="1"/>
  <c r="M15" i="1"/>
  <c r="N11" i="1" a="1"/>
  <c r="N11" i="1" s="1"/>
  <c r="G15" i="2" s="1"/>
  <c r="M11" i="1" a="1"/>
  <c r="M11" i="1"/>
  <c r="F15" i="2" s="1"/>
  <c r="F12" i="2"/>
  <c r="G6" i="2"/>
  <c r="F6" i="2"/>
  <c r="E6" i="2"/>
  <c r="N9" i="1" a="1"/>
  <c r="N9" i="1"/>
  <c r="G12" i="2" s="1"/>
  <c r="N8" i="1" a="1"/>
  <c r="N8" i="1"/>
  <c r="G11" i="2" s="1"/>
  <c r="N6" i="1" a="1"/>
  <c r="N6" i="1" s="1"/>
  <c r="G7" i="2" s="1"/>
  <c r="N5" i="1" a="1"/>
  <c r="N5" i="1" s="1"/>
  <c r="N4" i="1" a="1"/>
  <c r="N4" i="1" s="1"/>
  <c r="G5" i="2" s="1"/>
  <c r="N3" i="1" a="1"/>
  <c r="N3" i="1"/>
  <c r="G4" i="2" s="1"/>
  <c r="N10" i="1"/>
  <c r="G9" i="2" s="1"/>
  <c r="M10" i="1"/>
  <c r="F9" i="2" s="1"/>
  <c r="L10" i="1"/>
  <c r="E9" i="2" s="1"/>
  <c r="J36" i="1"/>
  <c r="L9" i="1" a="1"/>
  <c r="L9" i="1"/>
  <c r="E12" i="2" s="1"/>
  <c r="L8" i="1" a="1"/>
  <c r="L8" i="1" s="1"/>
  <c r="E11" i="2" s="1"/>
  <c r="M9" i="1" a="1"/>
  <c r="M9" i="1"/>
  <c r="M8" i="1" a="1"/>
  <c r="M8" i="1" s="1"/>
  <c r="F11" i="2" s="1"/>
  <c r="M6" i="1" a="1"/>
  <c r="M6" i="1" s="1"/>
  <c r="F7" i="2" s="1"/>
  <c r="M5" i="1" a="1"/>
  <c r="M5" i="1"/>
  <c r="M4" i="1" a="1"/>
  <c r="M4" i="1"/>
  <c r="F5" i="2" s="1"/>
  <c r="M3" i="1" a="1"/>
  <c r="M3" i="1" s="1"/>
  <c r="F4" i="2" s="1"/>
  <c r="L6" i="1" a="1"/>
  <c r="L6" i="1"/>
  <c r="L5" i="1" a="1"/>
  <c r="L5" i="1" s="1"/>
  <c r="L4" i="1" a="1"/>
  <c r="L4" i="1"/>
  <c r="E5" i="2" s="1"/>
  <c r="L3" i="1" a="1"/>
  <c r="L3" i="1"/>
  <c r="E4" i="2" s="1"/>
  <c r="J11" i="1" l="1"/>
  <c r="C15" i="2" s="1"/>
  <c r="D11" i="2"/>
  <c r="J28" i="1" l="1"/>
  <c r="D7" i="2" s="1"/>
  <c r="J27" i="1"/>
  <c r="D6" i="2" s="1"/>
  <c r="J26" i="1"/>
  <c r="D5" i="2" s="1"/>
  <c r="J6" i="1"/>
  <c r="C7" i="2" s="1"/>
  <c r="J5" i="1"/>
  <c r="C6" i="2" s="1"/>
  <c r="J4" i="1"/>
  <c r="C5" i="2" s="1"/>
  <c r="J35" i="1"/>
  <c r="J32" i="1"/>
  <c r="J31" i="1"/>
  <c r="J22" i="1"/>
  <c r="D12" i="2" s="1"/>
  <c r="J20" i="1"/>
  <c r="D9" i="2" s="1"/>
  <c r="J15" i="1"/>
  <c r="C16" i="2" s="1"/>
  <c r="J12" i="1"/>
  <c r="K10" i="1"/>
  <c r="C9" i="2" s="1"/>
  <c r="J10" i="1"/>
  <c r="J3" i="1"/>
  <c r="C4" i="2" s="1"/>
  <c r="J18" i="1"/>
  <c r="C17" i="2" s="1"/>
  <c r="J13" i="1"/>
  <c r="J16" i="1"/>
  <c r="J14" i="1"/>
  <c r="J25" i="1"/>
  <c r="D4" i="2" s="1"/>
  <c r="J9" i="1" l="1"/>
  <c r="C12" i="2" s="1"/>
  <c r="J8" i="1"/>
  <c r="C11" i="2" s="1"/>
  <c r="J7" i="1"/>
</calcChain>
</file>

<file path=xl/sharedStrings.xml><?xml version="1.0" encoding="utf-8"?>
<sst xmlns="http://schemas.openxmlformats.org/spreadsheetml/2006/main" count="442" uniqueCount="150">
  <si>
    <t>Org_ID</t>
  </si>
  <si>
    <t>Per_ID</t>
  </si>
  <si>
    <t>Person_Name</t>
  </si>
  <si>
    <t>Sex</t>
  </si>
  <si>
    <t>Age</t>
  </si>
  <si>
    <t>A</t>
  </si>
  <si>
    <t>Margaret T</t>
  </si>
  <si>
    <t>F</t>
  </si>
  <si>
    <t>John P</t>
  </si>
  <si>
    <t>M</t>
  </si>
  <si>
    <t>Libbie C</t>
  </si>
  <si>
    <t>Jane Sw</t>
  </si>
  <si>
    <t>Helen V</t>
  </si>
  <si>
    <t>Mary B</t>
  </si>
  <si>
    <t>F. Bill J</t>
  </si>
  <si>
    <t>Irma H</t>
  </si>
  <si>
    <t>Cy Tr</t>
  </si>
  <si>
    <t>Rose Do</t>
  </si>
  <si>
    <t>Rita S</t>
  </si>
  <si>
    <t>Jo Ann Z</t>
  </si>
  <si>
    <t>Jahleel</t>
  </si>
  <si>
    <t>Samuel</t>
  </si>
  <si>
    <t>Simmron</t>
  </si>
  <si>
    <t>Samyla</t>
  </si>
  <si>
    <t>Devon</t>
  </si>
  <si>
    <t>Destiny</t>
  </si>
  <si>
    <t>Stevie L</t>
  </si>
  <si>
    <t>Bobbie A</t>
  </si>
  <si>
    <t>Brendon H</t>
  </si>
  <si>
    <t>Teagann C.</t>
  </si>
  <si>
    <t>Kayne S</t>
  </si>
  <si>
    <t>Nicolas B.</t>
  </si>
  <si>
    <t>Samantha B</t>
  </si>
  <si>
    <t>Emily F</t>
  </si>
  <si>
    <t>Carol Ann L</t>
  </si>
  <si>
    <t>Hent F</t>
  </si>
  <si>
    <t>David C</t>
  </si>
  <si>
    <t>Roy D</t>
  </si>
  <si>
    <t>Gracie H</t>
  </si>
  <si>
    <t>Mary N</t>
  </si>
  <si>
    <t>Reba F</t>
  </si>
  <si>
    <t>Sterling R</t>
  </si>
  <si>
    <t>&gt;70</t>
  </si>
  <si>
    <t>M &amp; F</t>
  </si>
  <si>
    <t>Total</t>
  </si>
  <si>
    <t>=&gt;70</t>
  </si>
  <si>
    <t>&lt;= 20</t>
  </si>
  <si>
    <t>Sum M</t>
  </si>
  <si>
    <t>Sum F</t>
  </si>
  <si>
    <t>Sum</t>
  </si>
  <si>
    <t>Sum A</t>
  </si>
  <si>
    <t>am</t>
  </si>
  <si>
    <t># am</t>
  </si>
  <si>
    <t>20 to 70</t>
  </si>
  <si>
    <t>&lt; 20</t>
  </si>
  <si>
    <t>&lt;= 70</t>
  </si>
  <si>
    <t>=&gt;20</t>
  </si>
  <si>
    <t>B</t>
  </si>
  <si>
    <t>C</t>
  </si>
  <si>
    <t>D</t>
  </si>
  <si>
    <t>Sum B</t>
  </si>
  <si>
    <t>Sum C</t>
  </si>
  <si>
    <t>Sum D</t>
  </si>
  <si>
    <t>Amt</t>
  </si>
  <si>
    <t>Summary</t>
  </si>
  <si>
    <t>Count</t>
  </si>
  <si>
    <t>Group A</t>
  </si>
  <si>
    <t>Group B</t>
  </si>
  <si>
    <t>Group C</t>
  </si>
  <si>
    <t>Group D</t>
  </si>
  <si>
    <t>All Groups</t>
  </si>
  <si>
    <t>Total Amount</t>
  </si>
  <si>
    <t>Over 70</t>
  </si>
  <si>
    <t>Under 20</t>
  </si>
  <si>
    <t>Those from 20 &amp; 70</t>
  </si>
  <si>
    <t>Min age</t>
  </si>
  <si>
    <t>Min Amt</t>
  </si>
  <si>
    <t>Max Amt</t>
  </si>
  <si>
    <t>Youngest</t>
  </si>
  <si>
    <t>&lt;71</t>
  </si>
  <si>
    <t>Baseboard &amp; Trim</t>
  </si>
  <si>
    <t>Sides</t>
  </si>
  <si>
    <t>Ends</t>
  </si>
  <si>
    <t>Small Doors</t>
  </si>
  <si>
    <t>Large Doors</t>
  </si>
  <si>
    <t>Windows</t>
  </si>
  <si>
    <t>Chimney</t>
  </si>
  <si>
    <t>Closet Ends</t>
  </si>
  <si>
    <t>ID</t>
  </si>
  <si>
    <t xml:space="preserve">Name </t>
  </si>
  <si>
    <t>Street</t>
  </si>
  <si>
    <t>City</t>
  </si>
  <si>
    <t>State</t>
  </si>
  <si>
    <t>Zip</t>
  </si>
  <si>
    <t>Birthday</t>
  </si>
  <si>
    <t>8815 East Kemper Road</t>
  </si>
  <si>
    <t>Cincinnati</t>
  </si>
  <si>
    <t>OH</t>
  </si>
  <si>
    <t xml:space="preserve">First Name </t>
  </si>
  <si>
    <t>Last Name</t>
  </si>
  <si>
    <t>Birth Month</t>
  </si>
  <si>
    <t>Birth Day</t>
  </si>
  <si>
    <t>March</t>
  </si>
  <si>
    <t>June</t>
  </si>
  <si>
    <t>August</t>
  </si>
  <si>
    <t>February</t>
  </si>
  <si>
    <t>December</t>
  </si>
  <si>
    <t>October</t>
  </si>
  <si>
    <t>Mary</t>
  </si>
  <si>
    <t>Terry</t>
  </si>
  <si>
    <t xml:space="preserve">Al </t>
  </si>
  <si>
    <t>Bernie</t>
  </si>
  <si>
    <t>Jim</t>
  </si>
  <si>
    <t>John</t>
  </si>
  <si>
    <t xml:space="preserve">Colleen </t>
  </si>
  <si>
    <t>Smith</t>
  </si>
  <si>
    <t>Combined Name</t>
  </si>
  <si>
    <t>Pieces</t>
  </si>
  <si>
    <t>Remodeling Attic - Custom Doors</t>
  </si>
  <si>
    <t>Pieces cut</t>
  </si>
  <si>
    <t>Count Column A</t>
  </si>
  <si>
    <t>CountA Column A</t>
  </si>
  <si>
    <t>Mary Smith</t>
  </si>
  <si>
    <t>Terry Jones</t>
  </si>
  <si>
    <t>Jones</t>
  </si>
  <si>
    <t>Boone</t>
  </si>
  <si>
    <t>McCoy</t>
  </si>
  <si>
    <t>Hatfield</t>
  </si>
  <si>
    <t>Washington</t>
  </si>
  <si>
    <t>Jackson</t>
  </si>
  <si>
    <t>Al  Boone</t>
  </si>
  <si>
    <t>Bernie McCoy</t>
  </si>
  <si>
    <t>Jim Hatfield</t>
  </si>
  <si>
    <t>John Washington</t>
  </si>
  <si>
    <t>Colleen  Jackson</t>
  </si>
  <si>
    <t>2014 Expenses</t>
  </si>
  <si>
    <t>Source</t>
  </si>
  <si>
    <t>Date</t>
  </si>
  <si>
    <t>Amount</t>
  </si>
  <si>
    <t>Expense Type</t>
  </si>
  <si>
    <t>Food</t>
  </si>
  <si>
    <t>Cable</t>
  </si>
  <si>
    <t>Medical</t>
  </si>
  <si>
    <t>Electricity</t>
  </si>
  <si>
    <t>Totals</t>
  </si>
  <si>
    <t>Expense</t>
  </si>
  <si>
    <t>Purchase</t>
  </si>
  <si>
    <t>Length in inches</t>
  </si>
  <si>
    <t>Total Length in inches</t>
  </si>
  <si>
    <t>Length on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</si>
</sst>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1"/>
      <color rgb="FF33333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NumberFormat="1" applyFont="1" applyFill="1" applyBorder="1" applyAlignment="1" applyProtection="1">
      <protection locked="0"/>
    </xf>
    <xf numFmtId="0" fontId="0" fillId="0" borderId="0" xfId="0" quotePrefix="1"/>
    <xf numFmtId="1" fontId="0" fillId="0" borderId="0" xfId="0" applyNumberFormat="1" applyAlignment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right"/>
    </xf>
    <xf numFmtId="1" fontId="2" fillId="0" borderId="0" xfId="0" applyNumberFormat="1" applyFont="1"/>
    <xf numFmtId="1" fontId="0" fillId="0" borderId="0" xfId="0" applyNumberFormat="1"/>
    <xf numFmtId="0" fontId="3" fillId="0" borderId="0" xfId="0" applyFont="1"/>
    <xf numFmtId="15" fontId="0" fillId="0" borderId="0" xfId="0" applyNumberFormat="1"/>
    <xf numFmtId="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4" fontId="0" fillId="0" borderId="0" xfId="0" applyNumberFormat="1"/>
    <xf numFmtId="38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2"/>
    </xf>
    <xf numFmtId="2" fontId="4" fillId="0" borderId="0" xfId="0" applyNumberFormat="1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16"/>
  <sheetViews>
    <sheetView zoomScale="115" workbookViewId="0">
      <selection activeCell="B19" sqref="B19"/>
    </sheetView>
  </sheetViews>
  <sheetFormatPr defaultRowHeight="15" x14ac:dyDescent="0.25"/>
  <cols>
    <col min="1" max="1" width="9.140625" customWidth="1"/>
    <col min="2" max="2" width="19.140625" customWidth="1"/>
    <col min="3" max="3" width="22.85546875" customWidth="1"/>
    <col min="4" max="4" width="15.7109375" customWidth="1"/>
    <col min="5" max="5" width="7.7109375" customWidth="1"/>
  </cols>
  <sheetData>
    <row r="2" spans="1:7" x14ac:dyDescent="0.25">
      <c r="A2" t="s">
        <v>88</v>
      </c>
      <c r="B2" s="11" t="s">
        <v>89</v>
      </c>
      <c r="C2" t="s">
        <v>90</v>
      </c>
      <c r="D2" t="s">
        <v>91</v>
      </c>
      <c r="E2" t="s">
        <v>92</v>
      </c>
      <c r="F2" t="s">
        <v>93</v>
      </c>
      <c r="G2" t="s">
        <v>94</v>
      </c>
    </row>
    <row r="4" spans="1:7" x14ac:dyDescent="0.25">
      <c r="B4" t="s">
        <v>122</v>
      </c>
      <c r="C4" t="s">
        <v>95</v>
      </c>
      <c r="D4" t="s">
        <v>96</v>
      </c>
      <c r="E4" t="s">
        <v>97</v>
      </c>
      <c r="F4">
        <v>45249</v>
      </c>
      <c r="G4" s="13">
        <v>42053</v>
      </c>
    </row>
    <row r="5" spans="1:7" x14ac:dyDescent="0.25">
      <c r="B5" t="s">
        <v>123</v>
      </c>
      <c r="C5" t="s">
        <v>95</v>
      </c>
      <c r="D5" t="s">
        <v>96</v>
      </c>
      <c r="E5" t="s">
        <v>97</v>
      </c>
      <c r="F5">
        <v>45249</v>
      </c>
      <c r="G5" s="13">
        <v>42069</v>
      </c>
    </row>
    <row r="6" spans="1:7" x14ac:dyDescent="0.25">
      <c r="B6" t="s">
        <v>130</v>
      </c>
      <c r="C6" t="s">
        <v>95</v>
      </c>
      <c r="D6" t="s">
        <v>96</v>
      </c>
      <c r="E6" t="s">
        <v>97</v>
      </c>
      <c r="F6">
        <v>45249</v>
      </c>
      <c r="G6" s="13">
        <v>42174</v>
      </c>
    </row>
    <row r="7" spans="1:7" x14ac:dyDescent="0.25">
      <c r="B7" t="s">
        <v>131</v>
      </c>
      <c r="C7" t="s">
        <v>95</v>
      </c>
      <c r="D7" t="s">
        <v>96</v>
      </c>
      <c r="E7" t="s">
        <v>97</v>
      </c>
      <c r="F7">
        <v>45249</v>
      </c>
      <c r="G7" s="13">
        <v>42241</v>
      </c>
    </row>
    <row r="8" spans="1:7" x14ac:dyDescent="0.25">
      <c r="B8" t="s">
        <v>132</v>
      </c>
      <c r="C8" t="s">
        <v>95</v>
      </c>
      <c r="D8" t="s">
        <v>96</v>
      </c>
      <c r="E8" t="s">
        <v>97</v>
      </c>
      <c r="F8">
        <v>45249</v>
      </c>
      <c r="G8" s="13">
        <v>42282</v>
      </c>
    </row>
    <row r="9" spans="1:7" x14ac:dyDescent="0.25">
      <c r="B9" t="s">
        <v>133</v>
      </c>
      <c r="C9" t="s">
        <v>95</v>
      </c>
      <c r="D9" t="s">
        <v>96</v>
      </c>
      <c r="E9" t="s">
        <v>97</v>
      </c>
      <c r="F9">
        <v>45249</v>
      </c>
      <c r="G9" s="13">
        <v>42357</v>
      </c>
    </row>
    <row r="10" spans="1:7" x14ac:dyDescent="0.25">
      <c r="B10" t="s">
        <v>134</v>
      </c>
      <c r="C10" t="s">
        <v>95</v>
      </c>
      <c r="D10" t="s">
        <v>96</v>
      </c>
      <c r="E10" t="s">
        <v>97</v>
      </c>
      <c r="F10">
        <v>45249</v>
      </c>
      <c r="G10" s="14">
        <v>47150</v>
      </c>
    </row>
    <row r="14" spans="1:7" x14ac:dyDescent="0.25">
      <c r="E14" s="12"/>
    </row>
    <row r="16" spans="1:7" x14ac:dyDescent="0.25">
      <c r="C16" s="9"/>
    </row>
  </sheetData>
  <sortState xmlns:xlrd2="http://schemas.microsoft.com/office/spreadsheetml/2017/richdata2" ref="G4:G10">
    <sortCondition ref="G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16"/>
  <sheetViews>
    <sheetView zoomScale="115" workbookViewId="0">
      <selection activeCell="J4" sqref="J4:J10"/>
    </sheetView>
  </sheetViews>
  <sheetFormatPr defaultRowHeight="15" x14ac:dyDescent="0.25"/>
  <cols>
    <col min="1" max="1" width="9.140625" customWidth="1"/>
    <col min="2" max="2" width="23.42578125" customWidth="1"/>
    <col min="3" max="3" width="19.140625" customWidth="1"/>
    <col min="4" max="4" width="23.140625" customWidth="1"/>
    <col min="5" max="5" width="14.85546875" customWidth="1"/>
    <col min="6" max="6" width="7.7109375" customWidth="1"/>
    <col min="8" max="8" width="11.5703125" customWidth="1"/>
    <col min="10" max="10" width="22.7109375" customWidth="1"/>
  </cols>
  <sheetData>
    <row r="2" spans="1:10" x14ac:dyDescent="0.25">
      <c r="A2" t="s">
        <v>88</v>
      </c>
      <c r="B2" s="11" t="s">
        <v>99</v>
      </c>
      <c r="C2" s="11" t="s">
        <v>98</v>
      </c>
      <c r="D2" t="s">
        <v>90</v>
      </c>
      <c r="E2" t="s">
        <v>91</v>
      </c>
      <c r="F2" t="s">
        <v>92</v>
      </c>
      <c r="G2" t="s">
        <v>93</v>
      </c>
      <c r="H2" t="s">
        <v>100</v>
      </c>
      <c r="I2" t="s">
        <v>101</v>
      </c>
      <c r="J2" t="s">
        <v>116</v>
      </c>
    </row>
    <row r="4" spans="1:10" x14ac:dyDescent="0.25">
      <c r="A4">
        <v>1</v>
      </c>
      <c r="B4" t="s">
        <v>115</v>
      </c>
      <c r="C4" t="s">
        <v>108</v>
      </c>
      <c r="D4" t="s">
        <v>95</v>
      </c>
      <c r="E4" t="s">
        <v>96</v>
      </c>
      <c r="F4" t="s">
        <v>97</v>
      </c>
      <c r="G4">
        <v>45249</v>
      </c>
      <c r="H4" s="13" t="s">
        <v>104</v>
      </c>
      <c r="I4">
        <v>5</v>
      </c>
      <c r="J4" t="str">
        <f>CONCATENATE(C4," ",B4)</f>
        <v>Mary Smith</v>
      </c>
    </row>
    <row r="5" spans="1:10" x14ac:dyDescent="0.25">
      <c r="A5">
        <v>2</v>
      </c>
      <c r="B5" t="s">
        <v>124</v>
      </c>
      <c r="C5" t="s">
        <v>109</v>
      </c>
      <c r="D5" t="s">
        <v>95</v>
      </c>
      <c r="E5" t="s">
        <v>96</v>
      </c>
      <c r="F5" t="s">
        <v>97</v>
      </c>
      <c r="G5">
        <v>45249</v>
      </c>
      <c r="H5" s="13" t="s">
        <v>106</v>
      </c>
      <c r="I5">
        <v>6</v>
      </c>
      <c r="J5" t="str">
        <f t="shared" ref="J5:J10" si="0">CONCATENATE(C5," ",B5)</f>
        <v>Terry Jones</v>
      </c>
    </row>
    <row r="6" spans="1:10" x14ac:dyDescent="0.25">
      <c r="B6" t="s">
        <v>125</v>
      </c>
      <c r="C6" t="s">
        <v>110</v>
      </c>
      <c r="D6" t="s">
        <v>95</v>
      </c>
      <c r="E6" t="s">
        <v>96</v>
      </c>
      <c r="F6" t="s">
        <v>97</v>
      </c>
      <c r="G6">
        <v>45249</v>
      </c>
      <c r="H6" s="13" t="s">
        <v>105</v>
      </c>
      <c r="I6">
        <v>18</v>
      </c>
      <c r="J6" t="str">
        <f t="shared" si="0"/>
        <v>Al  Boone</v>
      </c>
    </row>
    <row r="7" spans="1:10" x14ac:dyDescent="0.25">
      <c r="B7" t="s">
        <v>126</v>
      </c>
      <c r="C7" t="s">
        <v>111</v>
      </c>
      <c r="D7" t="s">
        <v>95</v>
      </c>
      <c r="E7" t="s">
        <v>96</v>
      </c>
      <c r="F7" t="s">
        <v>97</v>
      </c>
      <c r="G7">
        <v>45249</v>
      </c>
      <c r="H7" s="14" t="s">
        <v>105</v>
      </c>
      <c r="I7">
        <v>19</v>
      </c>
      <c r="J7" t="str">
        <f t="shared" si="0"/>
        <v>Bernie McCoy</v>
      </c>
    </row>
    <row r="8" spans="1:10" x14ac:dyDescent="0.25">
      <c r="B8" t="s">
        <v>127</v>
      </c>
      <c r="C8" t="s">
        <v>112</v>
      </c>
      <c r="D8" t="s">
        <v>95</v>
      </c>
      <c r="E8" t="s">
        <v>96</v>
      </c>
      <c r="F8" t="s">
        <v>97</v>
      </c>
      <c r="G8">
        <v>45249</v>
      </c>
      <c r="H8" s="13" t="s">
        <v>103</v>
      </c>
      <c r="I8">
        <v>19</v>
      </c>
      <c r="J8" t="str">
        <f t="shared" si="0"/>
        <v>Jim Hatfield</v>
      </c>
    </row>
    <row r="9" spans="1:10" x14ac:dyDescent="0.25">
      <c r="B9" t="s">
        <v>128</v>
      </c>
      <c r="C9" t="s">
        <v>113</v>
      </c>
      <c r="D9" t="s">
        <v>95</v>
      </c>
      <c r="E9" t="s">
        <v>96</v>
      </c>
      <c r="F9" t="s">
        <v>97</v>
      </c>
      <c r="G9">
        <v>45249</v>
      </c>
      <c r="H9" s="13" t="s">
        <v>102</v>
      </c>
      <c r="I9">
        <v>25</v>
      </c>
      <c r="J9" t="str">
        <f t="shared" si="0"/>
        <v>John Washington</v>
      </c>
    </row>
    <row r="10" spans="1:10" x14ac:dyDescent="0.25">
      <c r="B10" t="s">
        <v>129</v>
      </c>
      <c r="C10" t="s">
        <v>114</v>
      </c>
      <c r="D10" t="s">
        <v>95</v>
      </c>
      <c r="E10" t="s">
        <v>96</v>
      </c>
      <c r="F10" t="s">
        <v>97</v>
      </c>
      <c r="G10">
        <v>45249</v>
      </c>
      <c r="H10" s="13" t="s">
        <v>107</v>
      </c>
      <c r="I10">
        <v>29</v>
      </c>
      <c r="J10" t="str">
        <f t="shared" si="0"/>
        <v>Colleen  Jackson</v>
      </c>
    </row>
    <row r="14" spans="1:10" x14ac:dyDescent="0.25">
      <c r="F14" s="12"/>
    </row>
    <row r="16" spans="1:10" x14ac:dyDescent="0.25">
      <c r="D16" s="9"/>
    </row>
  </sheetData>
  <sortState xmlns:xlrd2="http://schemas.microsoft.com/office/spreadsheetml/2017/richdata2" ref="I4:I10">
    <sortCondition ref="I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17"/>
  <sheetViews>
    <sheetView tabSelected="1" zoomScale="115" workbookViewId="0">
      <selection activeCell="H4" sqref="H4"/>
    </sheetView>
  </sheetViews>
  <sheetFormatPr defaultRowHeight="15" x14ac:dyDescent="0.25"/>
  <cols>
    <col min="1" max="1" width="9.140625" customWidth="1"/>
    <col min="2" max="2" width="19.140625" customWidth="1"/>
    <col min="3" max="3" width="9.140625" customWidth="1"/>
    <col min="4" max="4" width="8.140625" customWidth="1"/>
    <col min="5" max="5" width="13.85546875" customWidth="1"/>
  </cols>
  <sheetData>
    <row r="2" spans="2:8" ht="18.75" x14ac:dyDescent="0.3">
      <c r="B2" s="10" t="s">
        <v>80</v>
      </c>
    </row>
    <row r="3" spans="2:8" x14ac:dyDescent="0.25">
      <c r="B3" s="11">
        <v>40373</v>
      </c>
    </row>
    <row r="4" spans="2:8" ht="30" x14ac:dyDescent="0.25">
      <c r="C4" s="2" t="s">
        <v>147</v>
      </c>
      <c r="D4" s="1" t="s">
        <v>117</v>
      </c>
      <c r="E4" s="2" t="s">
        <v>148</v>
      </c>
      <c r="F4" s="22" t="s">
        <v>149</v>
      </c>
      <c r="G4" t="s">
        <v>119</v>
      </c>
      <c r="H4">
        <v>12</v>
      </c>
    </row>
    <row r="5" spans="2:8" x14ac:dyDescent="0.25">
      <c r="B5" t="s">
        <v>81</v>
      </c>
      <c r="C5">
        <v>28</v>
      </c>
      <c r="D5">
        <v>4</v>
      </c>
    </row>
    <row r="6" spans="2:8" x14ac:dyDescent="0.25">
      <c r="B6" t="s">
        <v>82</v>
      </c>
      <c r="C6">
        <v>13</v>
      </c>
      <c r="D6">
        <v>4</v>
      </c>
    </row>
    <row r="7" spans="2:8" x14ac:dyDescent="0.25">
      <c r="B7" t="s">
        <v>83</v>
      </c>
      <c r="C7">
        <v>5</v>
      </c>
      <c r="D7">
        <v>12</v>
      </c>
    </row>
    <row r="8" spans="2:8" x14ac:dyDescent="0.25">
      <c r="B8" t="s">
        <v>83</v>
      </c>
      <c r="C8">
        <v>2.5</v>
      </c>
      <c r="D8">
        <v>12</v>
      </c>
    </row>
    <row r="9" spans="2:8" x14ac:dyDescent="0.25">
      <c r="B9" t="s">
        <v>84</v>
      </c>
      <c r="C9">
        <v>7</v>
      </c>
      <c r="D9">
        <v>4</v>
      </c>
      <c r="G9" s="9"/>
    </row>
    <row r="10" spans="2:8" x14ac:dyDescent="0.25">
      <c r="B10" t="s">
        <v>85</v>
      </c>
      <c r="C10">
        <v>5</v>
      </c>
      <c r="D10">
        <v>4</v>
      </c>
    </row>
    <row r="11" spans="2:8" x14ac:dyDescent="0.25">
      <c r="B11" t="s">
        <v>85</v>
      </c>
      <c r="C11">
        <v>3</v>
      </c>
      <c r="D11">
        <v>4</v>
      </c>
    </row>
    <row r="12" spans="2:8" x14ac:dyDescent="0.25">
      <c r="B12" t="s">
        <v>86</v>
      </c>
      <c r="C12">
        <v>5</v>
      </c>
      <c r="D12">
        <v>2</v>
      </c>
    </row>
    <row r="13" spans="2:8" x14ac:dyDescent="0.25">
      <c r="B13" t="s">
        <v>87</v>
      </c>
      <c r="C13">
        <v>4</v>
      </c>
      <c r="D13">
        <v>4</v>
      </c>
    </row>
    <row r="14" spans="2:8" x14ac:dyDescent="0.25">
      <c r="B14" s="20" t="s">
        <v>44</v>
      </c>
      <c r="E14" s="15"/>
      <c r="F14" s="15"/>
    </row>
    <row r="15" spans="2:8" x14ac:dyDescent="0.25">
      <c r="B15" s="20" t="s">
        <v>146</v>
      </c>
      <c r="E15" s="21"/>
      <c r="F15" s="21"/>
    </row>
    <row r="17" spans="2:3" x14ac:dyDescent="0.25">
      <c r="B17" t="s">
        <v>118</v>
      </c>
      <c r="C17" s="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G17"/>
  <sheetViews>
    <sheetView zoomScale="115" workbookViewId="0">
      <selection activeCell="D18" sqref="D18"/>
    </sheetView>
  </sheetViews>
  <sheetFormatPr defaultRowHeight="15" x14ac:dyDescent="0.25"/>
  <cols>
    <col min="1" max="1" width="25.7109375" customWidth="1"/>
    <col min="4" max="4" width="12.7109375" customWidth="1"/>
  </cols>
  <sheetData>
    <row r="2" spans="1:7" x14ac:dyDescent="0.25">
      <c r="A2" t="s">
        <v>64</v>
      </c>
      <c r="C2" t="s">
        <v>65</v>
      </c>
      <c r="D2" t="s">
        <v>71</v>
      </c>
      <c r="E2" t="s">
        <v>75</v>
      </c>
      <c r="F2" t="s">
        <v>76</v>
      </c>
      <c r="G2" t="s">
        <v>77</v>
      </c>
    </row>
    <row r="4" spans="1:7" x14ac:dyDescent="0.25">
      <c r="A4" t="s">
        <v>66</v>
      </c>
      <c r="C4">
        <f>Baseinfo!J3</f>
        <v>12</v>
      </c>
      <c r="D4">
        <f>Baseinfo!J25</f>
        <v>1225</v>
      </c>
      <c r="E4">
        <f>Baseinfo!L3</f>
        <v>70</v>
      </c>
      <c r="F4">
        <f>Baseinfo!M3</f>
        <v>50</v>
      </c>
      <c r="G4">
        <f>Baseinfo!N3</f>
        <v>225</v>
      </c>
    </row>
    <row r="5" spans="1:7" x14ac:dyDescent="0.25">
      <c r="A5" t="s">
        <v>67</v>
      </c>
      <c r="C5">
        <f>Baseinfo!J4</f>
        <v>6</v>
      </c>
      <c r="D5">
        <f>Baseinfo!J26</f>
        <v>725</v>
      </c>
      <c r="E5">
        <f>Baseinfo!L4</f>
        <v>3</v>
      </c>
      <c r="F5">
        <f>Baseinfo!M4</f>
        <v>50</v>
      </c>
      <c r="G5">
        <f>Baseinfo!N4</f>
        <v>200</v>
      </c>
    </row>
    <row r="6" spans="1:7" x14ac:dyDescent="0.25">
      <c r="A6" t="s">
        <v>68</v>
      </c>
      <c r="C6">
        <f>Baseinfo!J5</f>
        <v>8</v>
      </c>
      <c r="D6">
        <f>Baseinfo!J27</f>
        <v>735</v>
      </c>
      <c r="E6">
        <f>Baseinfo!L5</f>
        <v>1</v>
      </c>
      <c r="F6">
        <f>Baseinfo!M5</f>
        <v>35</v>
      </c>
      <c r="G6">
        <f>Baseinfo!N5</f>
        <v>125</v>
      </c>
    </row>
    <row r="7" spans="1:7" x14ac:dyDescent="0.25">
      <c r="A7" t="s">
        <v>69</v>
      </c>
      <c r="C7">
        <f>Baseinfo!J6</f>
        <v>8</v>
      </c>
      <c r="D7">
        <f>Baseinfo!J28</f>
        <v>675</v>
      </c>
      <c r="F7">
        <f>Baseinfo!M6</f>
        <v>25</v>
      </c>
      <c r="G7">
        <f>Baseinfo!N6</f>
        <v>0</v>
      </c>
    </row>
    <row r="9" spans="1:7" x14ac:dyDescent="0.25">
      <c r="A9" t="s">
        <v>70</v>
      </c>
      <c r="C9">
        <f>Baseinfo!K10</f>
        <v>34</v>
      </c>
      <c r="D9">
        <f>Baseinfo!J20</f>
        <v>3360</v>
      </c>
      <c r="E9" s="9">
        <f>Baseinfo!L10</f>
        <v>1</v>
      </c>
      <c r="F9" s="9">
        <f>Baseinfo!M10</f>
        <v>25</v>
      </c>
      <c r="G9" s="9">
        <f>Baseinfo!N10</f>
        <v>225</v>
      </c>
    </row>
    <row r="11" spans="1:7" x14ac:dyDescent="0.25">
      <c r="A11" t="s">
        <v>9</v>
      </c>
      <c r="C11">
        <f>Baseinfo!J8</f>
        <v>12</v>
      </c>
      <c r="D11">
        <f>Baseinfo!J21</f>
        <v>1135</v>
      </c>
      <c r="E11">
        <f>Baseinfo!L8</f>
        <v>2</v>
      </c>
      <c r="F11">
        <f>Baseinfo!M8</f>
        <v>35</v>
      </c>
      <c r="G11">
        <f>Baseinfo!N8</f>
        <v>200</v>
      </c>
    </row>
    <row r="12" spans="1:7" x14ac:dyDescent="0.25">
      <c r="A12" t="s">
        <v>7</v>
      </c>
      <c r="C12">
        <f>Baseinfo!J9</f>
        <v>22</v>
      </c>
      <c r="D12">
        <f>Baseinfo!J22</f>
        <v>2225</v>
      </c>
      <c r="E12">
        <f>Baseinfo!L9</f>
        <v>1</v>
      </c>
      <c r="F12">
        <f>Baseinfo!M9</f>
        <v>25</v>
      </c>
      <c r="G12">
        <f>Baseinfo!N9</f>
        <v>225</v>
      </c>
    </row>
    <row r="15" spans="1:7" x14ac:dyDescent="0.25">
      <c r="A15" t="s">
        <v>72</v>
      </c>
      <c r="C15">
        <f>Baseinfo!J11</f>
        <v>18</v>
      </c>
      <c r="D15">
        <f>Baseinfo!K11</f>
        <v>1650</v>
      </c>
      <c r="F15">
        <f>Baseinfo!M11</f>
        <v>25</v>
      </c>
      <c r="G15">
        <f>Baseinfo!N11</f>
        <v>150</v>
      </c>
    </row>
    <row r="16" spans="1:7" x14ac:dyDescent="0.25">
      <c r="A16" t="s">
        <v>73</v>
      </c>
      <c r="C16">
        <f>Baseinfo!J15</f>
        <v>10</v>
      </c>
      <c r="D16">
        <f>Baseinfo!K15</f>
        <v>1060</v>
      </c>
      <c r="F16">
        <f>Baseinfo!M15</f>
        <v>25</v>
      </c>
      <c r="G16">
        <f>Baseinfo!N15</f>
        <v>225</v>
      </c>
    </row>
    <row r="17" spans="1:7" x14ac:dyDescent="0.25">
      <c r="A17" t="s">
        <v>74</v>
      </c>
      <c r="C17" s="9">
        <f>Baseinfo!J18</f>
        <v>6</v>
      </c>
      <c r="D17">
        <f>Baseinfo!K18</f>
        <v>650</v>
      </c>
      <c r="F17">
        <f>Baseinfo!M18</f>
        <v>50</v>
      </c>
      <c r="G17">
        <f>Baseinfo!N18</f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36"/>
  <sheetViews>
    <sheetView zoomScale="113" zoomScaleNormal="10" workbookViewId="0">
      <selection activeCell="C39" sqref="C39"/>
    </sheetView>
  </sheetViews>
  <sheetFormatPr defaultRowHeight="15" x14ac:dyDescent="0.25"/>
  <cols>
    <col min="1" max="1" width="7.7109375" customWidth="1"/>
    <col min="2" max="2" width="7.140625" customWidth="1"/>
    <col min="3" max="3" width="15.7109375" customWidth="1"/>
    <col min="4" max="4" width="7" customWidth="1"/>
    <col min="9" max="9" width="9.85546875" customWidth="1"/>
    <col min="10" max="10" width="6.7109375" customWidth="1"/>
    <col min="11" max="11" width="8.42578125" customWidth="1"/>
  </cols>
  <sheetData>
    <row r="1" spans="1:14" x14ac:dyDescent="0.25">
      <c r="A1" s="1" t="s">
        <v>0</v>
      </c>
      <c r="B1" t="s">
        <v>1</v>
      </c>
      <c r="C1" t="s">
        <v>2</v>
      </c>
      <c r="D1" s="1" t="s">
        <v>3</v>
      </c>
      <c r="E1" s="2" t="s">
        <v>4</v>
      </c>
      <c r="F1" s="2" t="s">
        <v>63</v>
      </c>
      <c r="G1" s="2"/>
    </row>
    <row r="2" spans="1:14" x14ac:dyDescent="0.25">
      <c r="A2" s="1" t="s">
        <v>5</v>
      </c>
      <c r="B2">
        <v>100</v>
      </c>
      <c r="C2" t="s">
        <v>6</v>
      </c>
      <c r="D2" t="s">
        <v>7</v>
      </c>
      <c r="E2" s="5">
        <v>99</v>
      </c>
      <c r="F2">
        <v>125</v>
      </c>
      <c r="G2" s="5"/>
      <c r="L2" t="s">
        <v>78</v>
      </c>
      <c r="M2" t="s">
        <v>76</v>
      </c>
      <c r="N2" t="s">
        <v>77</v>
      </c>
    </row>
    <row r="3" spans="1:14" x14ac:dyDescent="0.25">
      <c r="A3" s="1" t="s">
        <v>5</v>
      </c>
      <c r="B3">
        <v>101</v>
      </c>
      <c r="C3" t="s">
        <v>8</v>
      </c>
      <c r="D3" t="s">
        <v>9</v>
      </c>
      <c r="E3" s="5">
        <v>91</v>
      </c>
      <c r="F3">
        <v>50</v>
      </c>
      <c r="G3" s="5"/>
      <c r="I3" t="s">
        <v>5</v>
      </c>
      <c r="J3">
        <f>COUNTIF(A2:A35,"=A")</f>
        <v>12</v>
      </c>
      <c r="L3">
        <f t="array" ref="L3">MIN(IF(A2:A35=I3,E2:E35))</f>
        <v>70</v>
      </c>
      <c r="M3">
        <f t="array" ref="M3">MIN(IF(A2:A35=I3,F2:F35))</f>
        <v>50</v>
      </c>
      <c r="N3">
        <f t="array" ref="N3">MAX(IF(A2:A35=I4,F2:F35))</f>
        <v>225</v>
      </c>
    </row>
    <row r="4" spans="1:14" x14ac:dyDescent="0.25">
      <c r="A4" s="1" t="s">
        <v>5</v>
      </c>
      <c r="B4">
        <v>102</v>
      </c>
      <c r="C4" t="s">
        <v>10</v>
      </c>
      <c r="D4" t="s">
        <v>7</v>
      </c>
      <c r="E4" s="5">
        <v>86</v>
      </c>
      <c r="F4">
        <v>150</v>
      </c>
      <c r="G4" s="5"/>
      <c r="I4" t="s">
        <v>57</v>
      </c>
      <c r="J4">
        <f>COUNTIF(A2:A35,"=B")</f>
        <v>6</v>
      </c>
      <c r="L4">
        <f t="array" ref="L4">MIN(IF(A2:A35=I4,E2:E35))</f>
        <v>3</v>
      </c>
      <c r="M4">
        <f t="array" ref="M4">MIN(IF(A2:A35=I4,F2:F35))</f>
        <v>50</v>
      </c>
      <c r="N4">
        <f t="array" ref="N4">MAX(IF(A2:A35=I5,F2:F35))</f>
        <v>200</v>
      </c>
    </row>
    <row r="5" spans="1:14" x14ac:dyDescent="0.25">
      <c r="A5" s="1" t="s">
        <v>5</v>
      </c>
      <c r="B5">
        <v>103</v>
      </c>
      <c r="C5" t="s">
        <v>11</v>
      </c>
      <c r="D5" t="s">
        <v>7</v>
      </c>
      <c r="E5" s="5">
        <v>70</v>
      </c>
      <c r="F5">
        <v>175</v>
      </c>
      <c r="G5" s="5"/>
      <c r="I5" t="s">
        <v>58</v>
      </c>
      <c r="J5">
        <f>COUNTIF(A2:A35,"=C")</f>
        <v>8</v>
      </c>
      <c r="L5">
        <f t="array" ref="L5">MIN(IF(A2:A35=I5,E2:E35))</f>
        <v>1</v>
      </c>
      <c r="M5">
        <f t="array" ref="M5">MIN(IF(A2:A35=I5,F2:F35))</f>
        <v>35</v>
      </c>
      <c r="N5">
        <f t="array" ref="N5">MAX(IF(A2:A35=I6,F2:F35))</f>
        <v>125</v>
      </c>
    </row>
    <row r="6" spans="1:14" x14ac:dyDescent="0.25">
      <c r="A6" s="1" t="s">
        <v>5</v>
      </c>
      <c r="B6">
        <v>104</v>
      </c>
      <c r="C6" t="s">
        <v>12</v>
      </c>
      <c r="D6" t="s">
        <v>7</v>
      </c>
      <c r="E6" s="5">
        <v>86</v>
      </c>
      <c r="F6">
        <v>50</v>
      </c>
      <c r="G6" s="5"/>
      <c r="I6" t="s">
        <v>59</v>
      </c>
      <c r="J6">
        <f>COUNTIF(A2:A35,"=D")</f>
        <v>8</v>
      </c>
      <c r="L6">
        <f t="array" ref="L6">MIN(IF(A2:A35=I6,E2:E35))</f>
        <v>20</v>
      </c>
      <c r="M6">
        <f t="array" ref="M6">MIN(IF(A2:A35=I6,F2:F35))</f>
        <v>25</v>
      </c>
      <c r="N6">
        <f t="array" ref="N6">MAX(IF(A2:A35=I7,F2:F35))</f>
        <v>0</v>
      </c>
    </row>
    <row r="7" spans="1:14" x14ac:dyDescent="0.25">
      <c r="A7" s="1" t="s">
        <v>5</v>
      </c>
      <c r="B7">
        <v>106</v>
      </c>
      <c r="C7" t="s">
        <v>13</v>
      </c>
      <c r="D7" t="s">
        <v>7</v>
      </c>
      <c r="E7" s="5">
        <v>88</v>
      </c>
      <c r="F7" s="7">
        <v>100</v>
      </c>
      <c r="G7" s="5"/>
      <c r="I7" t="s">
        <v>43</v>
      </c>
      <c r="J7">
        <f>COUNTA(D2:D35)</f>
        <v>34</v>
      </c>
    </row>
    <row r="8" spans="1:14" x14ac:dyDescent="0.25">
      <c r="A8" s="1" t="s">
        <v>5</v>
      </c>
      <c r="B8">
        <v>108</v>
      </c>
      <c r="C8" t="s">
        <v>14</v>
      </c>
      <c r="D8" t="s">
        <v>9</v>
      </c>
      <c r="E8" s="5">
        <v>76</v>
      </c>
      <c r="F8">
        <v>125</v>
      </c>
      <c r="G8" s="5"/>
      <c r="I8" t="s">
        <v>9</v>
      </c>
      <c r="J8">
        <f>COUNTIF(D2:D35,"=M")</f>
        <v>12</v>
      </c>
      <c r="L8">
        <f t="array" ref="L8">MIN(IF(D2:D35=I8,E2:E35))</f>
        <v>2</v>
      </c>
      <c r="M8">
        <f t="array" ref="M8">MIN(IF(D2:D35=I8,F2:F35))</f>
        <v>35</v>
      </c>
      <c r="N8">
        <f t="array" ref="N8">MAX(IF(D2:D35=I8,F2:F35))</f>
        <v>200</v>
      </c>
    </row>
    <row r="9" spans="1:14" x14ac:dyDescent="0.25">
      <c r="A9" s="1" t="s">
        <v>5</v>
      </c>
      <c r="B9">
        <v>109</v>
      </c>
      <c r="C9" t="s">
        <v>15</v>
      </c>
      <c r="D9" t="s">
        <v>7</v>
      </c>
      <c r="E9" s="5">
        <v>81</v>
      </c>
      <c r="F9">
        <v>50</v>
      </c>
      <c r="G9" s="5"/>
      <c r="I9" t="s">
        <v>7</v>
      </c>
      <c r="J9">
        <f>COUNTIF(D2:D35,"=F")</f>
        <v>22</v>
      </c>
      <c r="L9">
        <f t="array" ref="L9">MIN(IF(D2:D35=I9,E2:E35))</f>
        <v>1</v>
      </c>
      <c r="M9">
        <f t="array" ref="M9">MIN(IF(D2:D35=I9,F2:F35))</f>
        <v>25</v>
      </c>
      <c r="N9">
        <f t="array" ref="N9">MAX(IF(D2:D35=I9,F2:F35))</f>
        <v>225</v>
      </c>
    </row>
    <row r="10" spans="1:14" x14ac:dyDescent="0.25">
      <c r="A10" s="1" t="s">
        <v>5</v>
      </c>
      <c r="B10">
        <v>111</v>
      </c>
      <c r="C10" t="s">
        <v>16</v>
      </c>
      <c r="D10" t="s">
        <v>7</v>
      </c>
      <c r="E10" s="5">
        <v>97</v>
      </c>
      <c r="F10">
        <v>75</v>
      </c>
      <c r="G10" s="5"/>
      <c r="I10" t="s">
        <v>44</v>
      </c>
      <c r="J10">
        <f>COUNT(A2:A35)</f>
        <v>0</v>
      </c>
      <c r="K10">
        <f>COUNTA(A2:A35)</f>
        <v>34</v>
      </c>
      <c r="L10" s="9">
        <f>MIN(E2:E35)</f>
        <v>1</v>
      </c>
      <c r="M10">
        <f>MIN(F2:F35)</f>
        <v>25</v>
      </c>
      <c r="N10">
        <f>MAX(F2:F35)</f>
        <v>225</v>
      </c>
    </row>
    <row r="11" spans="1:14" x14ac:dyDescent="0.25">
      <c r="A11" s="1" t="s">
        <v>5</v>
      </c>
      <c r="B11">
        <v>112</v>
      </c>
      <c r="C11" t="s">
        <v>17</v>
      </c>
      <c r="D11" t="s">
        <v>7</v>
      </c>
      <c r="E11" s="5">
        <v>94</v>
      </c>
      <c r="F11">
        <v>150</v>
      </c>
      <c r="G11" s="5"/>
      <c r="I11" s="4" t="s">
        <v>42</v>
      </c>
      <c r="J11">
        <f>COUNTIF(E2:E35,"&gt;70")</f>
        <v>18</v>
      </c>
      <c r="K11">
        <f t="array" ref="K11">SUMIF(E2:E35,"&gt;70",F2:F35)</f>
        <v>1650</v>
      </c>
      <c r="M11">
        <f t="array" ref="M11">MIN(IF(E2:E35&gt;70,F2:F35))</f>
        <v>25</v>
      </c>
      <c r="N11">
        <f t="array" ref="N11">MAX(IF(E2:E35&gt;70,F2:F35))</f>
        <v>150</v>
      </c>
    </row>
    <row r="12" spans="1:14" x14ac:dyDescent="0.25">
      <c r="A12" s="1" t="s">
        <v>5</v>
      </c>
      <c r="B12">
        <v>113</v>
      </c>
      <c r="C12" t="s">
        <v>18</v>
      </c>
      <c r="D12" t="s">
        <v>7</v>
      </c>
      <c r="E12" s="5">
        <v>85</v>
      </c>
      <c r="F12">
        <v>125</v>
      </c>
      <c r="G12" s="5"/>
      <c r="I12" s="4" t="s">
        <v>45</v>
      </c>
      <c r="J12">
        <f>COUNTIF(E2:E35,"&gt;=70")</f>
        <v>19</v>
      </c>
    </row>
    <row r="13" spans="1:14" x14ac:dyDescent="0.25">
      <c r="A13" s="1" t="s">
        <v>5</v>
      </c>
      <c r="B13">
        <v>116</v>
      </c>
      <c r="C13" t="s">
        <v>19</v>
      </c>
      <c r="D13" t="s">
        <v>7</v>
      </c>
      <c r="E13" s="5">
        <v>77</v>
      </c>
      <c r="F13">
        <v>50</v>
      </c>
      <c r="G13" s="5"/>
      <c r="I13" s="4" t="s">
        <v>55</v>
      </c>
      <c r="J13">
        <f>COUNTIF(E2:E35,"&lt;=70")</f>
        <v>16</v>
      </c>
    </row>
    <row r="14" spans="1:14" x14ac:dyDescent="0.25">
      <c r="A14" s="1" t="s">
        <v>57</v>
      </c>
      <c r="B14">
        <v>320</v>
      </c>
      <c r="C14" t="s">
        <v>20</v>
      </c>
      <c r="D14" t="s">
        <v>7</v>
      </c>
      <c r="E14" s="5">
        <v>23</v>
      </c>
      <c r="F14">
        <v>50</v>
      </c>
      <c r="G14" s="5"/>
      <c r="I14" s="4" t="s">
        <v>46</v>
      </c>
      <c r="J14">
        <f>COUNTIF(E2:E35,"&lt;=20")</f>
        <v>11</v>
      </c>
    </row>
    <row r="15" spans="1:14" x14ac:dyDescent="0.25">
      <c r="A15" s="1" t="s">
        <v>57</v>
      </c>
      <c r="B15">
        <v>321</v>
      </c>
      <c r="C15" t="s">
        <v>21</v>
      </c>
      <c r="D15" t="s">
        <v>9</v>
      </c>
      <c r="E15" s="5">
        <v>3</v>
      </c>
      <c r="F15">
        <v>100</v>
      </c>
      <c r="G15" s="5"/>
      <c r="I15" t="s">
        <v>54</v>
      </c>
      <c r="J15">
        <f>COUNTIF(E2:E35,"&lt;20")</f>
        <v>10</v>
      </c>
      <c r="K15">
        <f>SUMIF(E2:E35,"&lt;20",F2:F35)</f>
        <v>1060</v>
      </c>
      <c r="M15">
        <f>MIN(IF(E2:E35&lt;20,F2:F35))</f>
        <v>25</v>
      </c>
      <c r="N15">
        <f t="array" ref="N15">MAX(IF(E2:E35&lt;20,F2:F35))</f>
        <v>225</v>
      </c>
    </row>
    <row r="16" spans="1:14" x14ac:dyDescent="0.25">
      <c r="A16" s="1" t="s">
        <v>57</v>
      </c>
      <c r="B16">
        <v>322</v>
      </c>
      <c r="C16" t="s">
        <v>22</v>
      </c>
      <c r="D16" t="s">
        <v>9</v>
      </c>
      <c r="E16" s="5">
        <v>4</v>
      </c>
      <c r="F16">
        <v>100</v>
      </c>
      <c r="G16" s="5"/>
      <c r="I16" s="4" t="s">
        <v>56</v>
      </c>
      <c r="J16">
        <f>COUNTIF(E2:E35,"&gt;=20")</f>
        <v>24</v>
      </c>
    </row>
    <row r="17" spans="1:15" x14ac:dyDescent="0.25">
      <c r="A17" s="1" t="s">
        <v>57</v>
      </c>
      <c r="B17">
        <v>323</v>
      </c>
      <c r="C17" t="s">
        <v>23</v>
      </c>
      <c r="D17" t="s">
        <v>7</v>
      </c>
      <c r="E17" s="5">
        <v>12</v>
      </c>
      <c r="F17">
        <v>225</v>
      </c>
      <c r="G17" s="5"/>
      <c r="I17" t="s">
        <v>79</v>
      </c>
      <c r="K17">
        <f>SUMIF(E2:E35,"&lt;71",F2:F35)</f>
        <v>1710</v>
      </c>
    </row>
    <row r="18" spans="1:15" x14ac:dyDescent="0.25">
      <c r="A18" s="1" t="s">
        <v>57</v>
      </c>
      <c r="B18">
        <v>331</v>
      </c>
      <c r="C18" t="s">
        <v>24</v>
      </c>
      <c r="D18" t="s">
        <v>7</v>
      </c>
      <c r="E18" s="5">
        <v>23</v>
      </c>
      <c r="F18">
        <v>150</v>
      </c>
      <c r="G18" s="5"/>
      <c r="I18" t="s">
        <v>53</v>
      </c>
      <c r="J18" s="8">
        <f>COUNTIF(E2:E35,"&lt;=70")-COUNTIF(E2:E35,"&lt;20")</f>
        <v>6</v>
      </c>
      <c r="K18">
        <f>+K17-K15</f>
        <v>650</v>
      </c>
      <c r="M18">
        <f t="array" ref="M18">MIN(IF(E2:E35&lt;71,IF(E2:E35&gt;19,F2:F35)))</f>
        <v>50</v>
      </c>
      <c r="N18">
        <f t="array" ref="N18">MAX(IF(E2:E35&lt;71,IF(E2:E35&gt;19,F2:F35)))</f>
        <v>175</v>
      </c>
    </row>
    <row r="19" spans="1:15" x14ac:dyDescent="0.25">
      <c r="A19" s="1" t="s">
        <v>57</v>
      </c>
      <c r="B19">
        <v>332</v>
      </c>
      <c r="C19" t="s">
        <v>25</v>
      </c>
      <c r="D19" t="s">
        <v>7</v>
      </c>
      <c r="E19" s="5">
        <v>3</v>
      </c>
      <c r="F19">
        <v>100</v>
      </c>
      <c r="G19" s="5"/>
    </row>
    <row r="20" spans="1:15" x14ac:dyDescent="0.25">
      <c r="A20" s="1" t="s">
        <v>58</v>
      </c>
      <c r="B20">
        <v>572</v>
      </c>
      <c r="C20" t="s">
        <v>26</v>
      </c>
      <c r="D20" t="s">
        <v>9</v>
      </c>
      <c r="E20" s="5">
        <v>21</v>
      </c>
      <c r="F20">
        <v>100</v>
      </c>
      <c r="G20" s="5"/>
      <c r="I20" t="s">
        <v>49</v>
      </c>
      <c r="J20">
        <f>SUM(F2:F35)</f>
        <v>3360</v>
      </c>
    </row>
    <row r="21" spans="1:15" x14ac:dyDescent="0.25">
      <c r="A21" s="1" t="s">
        <v>58</v>
      </c>
      <c r="B21">
        <v>573</v>
      </c>
      <c r="C21" t="s">
        <v>27</v>
      </c>
      <c r="D21" t="s">
        <v>7</v>
      </c>
      <c r="E21" s="5">
        <v>80</v>
      </c>
      <c r="F21">
        <v>100</v>
      </c>
      <c r="G21" s="5"/>
      <c r="I21" t="s">
        <v>47</v>
      </c>
      <c r="J21">
        <f>SUMIF(D2:D35,"M",F2:F35)</f>
        <v>1135</v>
      </c>
      <c r="M21" t="s">
        <v>120</v>
      </c>
      <c r="O21">
        <f>COUNT(A2:A35)</f>
        <v>0</v>
      </c>
    </row>
    <row r="22" spans="1:15" x14ac:dyDescent="0.25">
      <c r="A22" s="1" t="s">
        <v>58</v>
      </c>
      <c r="B22">
        <v>574</v>
      </c>
      <c r="C22" t="s">
        <v>28</v>
      </c>
      <c r="D22" t="s">
        <v>9</v>
      </c>
      <c r="E22" s="5">
        <v>9</v>
      </c>
      <c r="F22">
        <v>50</v>
      </c>
      <c r="G22" s="5"/>
      <c r="I22" t="s">
        <v>48</v>
      </c>
      <c r="J22">
        <f>SUMIF(D2:D35,"F",F2:F35)</f>
        <v>2225</v>
      </c>
      <c r="M22" t="s">
        <v>121</v>
      </c>
      <c r="O22">
        <f>COUNTA(A2:A35)</f>
        <v>34</v>
      </c>
    </row>
    <row r="23" spans="1:15" x14ac:dyDescent="0.25">
      <c r="A23" s="1" t="s">
        <v>58</v>
      </c>
      <c r="B23">
        <v>575</v>
      </c>
      <c r="C23" t="s">
        <v>29</v>
      </c>
      <c r="D23" t="s">
        <v>7</v>
      </c>
      <c r="E23" s="5">
        <v>2</v>
      </c>
      <c r="F23">
        <v>50</v>
      </c>
      <c r="G23" s="5"/>
    </row>
    <row r="24" spans="1:15" x14ac:dyDescent="0.25">
      <c r="A24" s="1" t="s">
        <v>58</v>
      </c>
      <c r="B24">
        <v>576</v>
      </c>
      <c r="C24" t="s">
        <v>30</v>
      </c>
      <c r="D24" t="s">
        <v>9</v>
      </c>
      <c r="E24" s="5">
        <v>2</v>
      </c>
      <c r="F24">
        <v>200</v>
      </c>
      <c r="G24" s="5"/>
    </row>
    <row r="25" spans="1:15" x14ac:dyDescent="0.25">
      <c r="A25" s="1" t="s">
        <v>58</v>
      </c>
      <c r="B25">
        <v>577</v>
      </c>
      <c r="C25" t="s">
        <v>31</v>
      </c>
      <c r="D25" t="s">
        <v>9</v>
      </c>
      <c r="E25" s="5">
        <v>16</v>
      </c>
      <c r="F25">
        <v>35</v>
      </c>
      <c r="G25" s="5"/>
      <c r="I25" t="s">
        <v>50</v>
      </c>
      <c r="J25">
        <f>SUMIF(A2:A35,"A",F2:F35)</f>
        <v>1225</v>
      </c>
    </row>
    <row r="26" spans="1:15" x14ac:dyDescent="0.25">
      <c r="A26" s="1" t="s">
        <v>58</v>
      </c>
      <c r="B26">
        <v>578</v>
      </c>
      <c r="C26" t="s">
        <v>32</v>
      </c>
      <c r="D26" t="s">
        <v>7</v>
      </c>
      <c r="E26" s="5">
        <v>15</v>
      </c>
      <c r="F26">
        <v>100</v>
      </c>
      <c r="G26" s="5"/>
      <c r="I26" t="s">
        <v>60</v>
      </c>
      <c r="J26">
        <f>SUMIF(A2:A35,"B",F2:F35)</f>
        <v>725</v>
      </c>
    </row>
    <row r="27" spans="1:15" x14ac:dyDescent="0.25">
      <c r="A27" s="1" t="s">
        <v>58</v>
      </c>
      <c r="B27">
        <v>579</v>
      </c>
      <c r="C27" t="s">
        <v>33</v>
      </c>
      <c r="D27" t="s">
        <v>7</v>
      </c>
      <c r="E27" s="5">
        <v>1</v>
      </c>
      <c r="F27">
        <v>100</v>
      </c>
      <c r="G27" s="5"/>
      <c r="I27" t="s">
        <v>61</v>
      </c>
      <c r="J27">
        <f>SUMIF(A2:A35,"C",F2:F35)</f>
        <v>735</v>
      </c>
    </row>
    <row r="28" spans="1:15" x14ac:dyDescent="0.25">
      <c r="A28" s="1" t="s">
        <v>59</v>
      </c>
      <c r="B28" s="3">
        <v>230</v>
      </c>
      <c r="C28" s="3" t="s">
        <v>34</v>
      </c>
      <c r="D28" s="3" t="s">
        <v>7</v>
      </c>
      <c r="E28" s="6">
        <v>74</v>
      </c>
      <c r="F28">
        <v>75</v>
      </c>
      <c r="G28" s="6"/>
      <c r="I28" t="s">
        <v>62</v>
      </c>
      <c r="J28">
        <f>SUMIF(A2:A35,"D",F2:F35)</f>
        <v>675</v>
      </c>
    </row>
    <row r="29" spans="1:15" x14ac:dyDescent="0.25">
      <c r="A29" s="1" t="s">
        <v>59</v>
      </c>
      <c r="B29" s="3">
        <v>231</v>
      </c>
      <c r="C29" s="3" t="s">
        <v>35</v>
      </c>
      <c r="D29" s="3" t="s">
        <v>9</v>
      </c>
      <c r="E29" s="6">
        <v>77</v>
      </c>
      <c r="F29">
        <v>100</v>
      </c>
      <c r="G29" s="6"/>
    </row>
    <row r="30" spans="1:15" x14ac:dyDescent="0.25">
      <c r="A30" s="1" t="s">
        <v>59</v>
      </c>
      <c r="B30" s="3">
        <v>232</v>
      </c>
      <c r="C30" s="3" t="s">
        <v>36</v>
      </c>
      <c r="D30" s="3" t="s">
        <v>9</v>
      </c>
      <c r="E30" s="6">
        <v>20</v>
      </c>
      <c r="F30">
        <v>125</v>
      </c>
      <c r="G30" s="6"/>
    </row>
    <row r="31" spans="1:15" x14ac:dyDescent="0.25">
      <c r="A31" s="1" t="s">
        <v>59</v>
      </c>
      <c r="B31" s="3">
        <v>233</v>
      </c>
      <c r="C31" s="3" t="s">
        <v>37</v>
      </c>
      <c r="D31" s="3" t="s">
        <v>9</v>
      </c>
      <c r="E31" s="6">
        <v>98</v>
      </c>
      <c r="F31">
        <v>100</v>
      </c>
      <c r="G31" s="6"/>
      <c r="I31" t="s">
        <v>51</v>
      </c>
      <c r="J31">
        <f>SUMIF(C2:C35,"*am*",F2:F35)</f>
        <v>425</v>
      </c>
    </row>
    <row r="32" spans="1:15" x14ac:dyDescent="0.25">
      <c r="A32" s="1" t="s">
        <v>59</v>
      </c>
      <c r="B32" s="3">
        <v>234</v>
      </c>
      <c r="C32" s="3" t="s">
        <v>38</v>
      </c>
      <c r="D32" s="3" t="s">
        <v>7</v>
      </c>
      <c r="E32" s="6">
        <v>75</v>
      </c>
      <c r="F32">
        <v>25</v>
      </c>
      <c r="G32" s="6"/>
      <c r="I32" t="s">
        <v>52</v>
      </c>
      <c r="J32">
        <f>COUNTIF(C2:C35,"*am*")</f>
        <v>3</v>
      </c>
    </row>
    <row r="33" spans="1:10" x14ac:dyDescent="0.25">
      <c r="A33" s="1" t="s">
        <v>59</v>
      </c>
      <c r="B33" s="3">
        <v>235</v>
      </c>
      <c r="C33" s="3" t="s">
        <v>39</v>
      </c>
      <c r="D33" s="3" t="s">
        <v>7</v>
      </c>
      <c r="E33" s="6">
        <v>83</v>
      </c>
      <c r="F33">
        <v>100</v>
      </c>
      <c r="G33" s="6"/>
    </row>
    <row r="34" spans="1:10" x14ac:dyDescent="0.25">
      <c r="A34" s="1" t="s">
        <v>59</v>
      </c>
      <c r="B34" s="3">
        <v>236</v>
      </c>
      <c r="C34" s="3" t="s">
        <v>40</v>
      </c>
      <c r="D34" s="3" t="s">
        <v>7</v>
      </c>
      <c r="E34" s="6">
        <v>81</v>
      </c>
      <c r="F34">
        <v>100</v>
      </c>
      <c r="G34" s="6"/>
    </row>
    <row r="35" spans="1:10" x14ac:dyDescent="0.25">
      <c r="A35" s="1" t="s">
        <v>59</v>
      </c>
      <c r="B35" s="3">
        <v>237</v>
      </c>
      <c r="C35" s="3" t="s">
        <v>41</v>
      </c>
      <c r="D35" s="3" t="s">
        <v>9</v>
      </c>
      <c r="E35" s="6">
        <v>66</v>
      </c>
      <c r="F35">
        <v>50</v>
      </c>
      <c r="G35" s="6"/>
      <c r="I35" t="s">
        <v>76</v>
      </c>
      <c r="J35">
        <f>MIN(F2:F35)</f>
        <v>25</v>
      </c>
    </row>
    <row r="36" spans="1:10" x14ac:dyDescent="0.25">
      <c r="I36" t="s">
        <v>77</v>
      </c>
      <c r="J36">
        <f>MAX(F2:F35)</f>
        <v>225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9"/>
  <sheetViews>
    <sheetView workbookViewId="0">
      <selection activeCell="D1" sqref="D1:D1048576"/>
    </sheetView>
  </sheetViews>
  <sheetFormatPr defaultRowHeight="15" x14ac:dyDescent="0.25"/>
  <cols>
    <col min="2" max="2" width="15.7109375" customWidth="1"/>
    <col min="3" max="3" width="11.7109375" customWidth="1"/>
    <col min="4" max="4" width="8.7109375" customWidth="1"/>
  </cols>
  <sheetData>
    <row r="2" spans="2:9" x14ac:dyDescent="0.25">
      <c r="B2" s="15" t="s">
        <v>135</v>
      </c>
    </row>
    <row r="3" spans="2:9" x14ac:dyDescent="0.25">
      <c r="B3" s="15"/>
    </row>
    <row r="4" spans="2:9" x14ac:dyDescent="0.25">
      <c r="B4" s="1" t="s">
        <v>136</v>
      </c>
      <c r="C4" s="1" t="s">
        <v>137</v>
      </c>
      <c r="D4" s="1" t="s">
        <v>138</v>
      </c>
      <c r="E4" s="1"/>
      <c r="F4" t="s">
        <v>139</v>
      </c>
      <c r="G4" s="16" t="s">
        <v>138</v>
      </c>
      <c r="H4" s="16"/>
      <c r="I4" s="16" t="s">
        <v>65</v>
      </c>
    </row>
    <row r="6" spans="2:9" x14ac:dyDescent="0.25">
      <c r="B6" t="s">
        <v>140</v>
      </c>
      <c r="C6" s="17">
        <v>41649</v>
      </c>
      <c r="D6">
        <v>50</v>
      </c>
      <c r="F6" t="s">
        <v>141</v>
      </c>
      <c r="G6">
        <f xml:space="preserve"> SUMIF($B$6:$B$500, "Cable",D$6:D$500)</f>
        <v>400</v>
      </c>
      <c r="I6">
        <f>COUNTIF($B$6:$B$500,"Cable")</f>
        <v>4</v>
      </c>
    </row>
    <row r="7" spans="2:9" x14ac:dyDescent="0.25">
      <c r="B7" t="s">
        <v>140</v>
      </c>
      <c r="C7" s="17">
        <v>41650</v>
      </c>
      <c r="D7">
        <v>50</v>
      </c>
      <c r="F7" t="s">
        <v>142</v>
      </c>
      <c r="G7">
        <f xml:space="preserve"> SUMIF($B$6:$B$500, "Medical",D$6:D$5007)</f>
        <v>340</v>
      </c>
      <c r="I7">
        <f>COUNTIF($B$6:$B$500,"Medical")</f>
        <v>5</v>
      </c>
    </row>
    <row r="8" spans="2:9" x14ac:dyDescent="0.25">
      <c r="B8" t="s">
        <v>141</v>
      </c>
      <c r="C8" s="17">
        <v>41654</v>
      </c>
      <c r="D8">
        <v>100</v>
      </c>
      <c r="F8" t="s">
        <v>140</v>
      </c>
      <c r="G8">
        <f xml:space="preserve"> SUMIF($B$6:$B$500, "Food",D$6:D$500)</f>
        <v>850</v>
      </c>
      <c r="I8">
        <f>COUNTIF($B$6:$B$500,"Food")</f>
        <v>13</v>
      </c>
    </row>
    <row r="9" spans="2:9" x14ac:dyDescent="0.25">
      <c r="B9" t="s">
        <v>140</v>
      </c>
      <c r="C9" s="17">
        <v>41291</v>
      </c>
      <c r="D9">
        <v>50</v>
      </c>
      <c r="F9" t="s">
        <v>143</v>
      </c>
      <c r="G9">
        <f ca="1" xml:space="preserve"> SUMIF($B$6:$B$5007, "Electricity",D$6:D$500)</f>
        <v>200</v>
      </c>
      <c r="I9">
        <f>COUNTIF($B$6:$B$500,"Electricity")</f>
        <v>2</v>
      </c>
    </row>
    <row r="10" spans="2:9" x14ac:dyDescent="0.25">
      <c r="B10" t="s">
        <v>143</v>
      </c>
      <c r="C10" s="17">
        <v>41667</v>
      </c>
      <c r="D10">
        <v>100</v>
      </c>
    </row>
    <row r="11" spans="2:9" x14ac:dyDescent="0.25">
      <c r="B11" t="s">
        <v>140</v>
      </c>
      <c r="C11" s="17">
        <v>41669</v>
      </c>
      <c r="D11" s="7">
        <v>50</v>
      </c>
      <c r="E11" s="18"/>
      <c r="F11" t="s">
        <v>44</v>
      </c>
      <c r="G11">
        <f ca="1">SUM(G6:G10)</f>
        <v>1790</v>
      </c>
      <c r="I11">
        <f>SUM(I6:I10)</f>
        <v>24</v>
      </c>
    </row>
    <row r="12" spans="2:9" x14ac:dyDescent="0.25">
      <c r="B12" t="s">
        <v>142</v>
      </c>
      <c r="C12" s="17">
        <v>41669</v>
      </c>
      <c r="D12">
        <v>50</v>
      </c>
    </row>
    <row r="13" spans="2:9" x14ac:dyDescent="0.25">
      <c r="B13" t="s">
        <v>140</v>
      </c>
      <c r="C13" s="17">
        <v>41669</v>
      </c>
      <c r="D13">
        <v>75</v>
      </c>
    </row>
    <row r="14" spans="2:9" x14ac:dyDescent="0.25">
      <c r="B14" s="17" t="s">
        <v>140</v>
      </c>
      <c r="C14" s="17">
        <v>41676</v>
      </c>
      <c r="D14">
        <v>100</v>
      </c>
      <c r="G14" s="12"/>
    </row>
    <row r="15" spans="2:9" x14ac:dyDescent="0.25">
      <c r="B15" s="17" t="s">
        <v>141</v>
      </c>
      <c r="C15" s="17">
        <v>41680</v>
      </c>
      <c r="D15">
        <v>100</v>
      </c>
    </row>
    <row r="16" spans="2:9" x14ac:dyDescent="0.25">
      <c r="B16" t="s">
        <v>140</v>
      </c>
      <c r="C16" s="17">
        <v>41697</v>
      </c>
      <c r="D16">
        <v>75</v>
      </c>
    </row>
    <row r="17" spans="2:4" x14ac:dyDescent="0.25">
      <c r="B17" t="s">
        <v>142</v>
      </c>
      <c r="C17" s="17">
        <v>41697</v>
      </c>
      <c r="D17">
        <v>40</v>
      </c>
    </row>
    <row r="18" spans="2:4" x14ac:dyDescent="0.25">
      <c r="B18" t="s">
        <v>140</v>
      </c>
      <c r="C18" s="17">
        <v>41697</v>
      </c>
      <c r="D18">
        <v>100</v>
      </c>
    </row>
    <row r="19" spans="2:4" x14ac:dyDescent="0.25">
      <c r="B19" t="s">
        <v>140</v>
      </c>
      <c r="C19" s="17">
        <v>41698</v>
      </c>
      <c r="D19">
        <v>75</v>
      </c>
    </row>
    <row r="20" spans="2:4" x14ac:dyDescent="0.25">
      <c r="B20" t="s">
        <v>140</v>
      </c>
      <c r="C20" s="17">
        <v>41699</v>
      </c>
      <c r="D20">
        <v>25</v>
      </c>
    </row>
    <row r="21" spans="2:4" x14ac:dyDescent="0.25">
      <c r="B21" t="s">
        <v>141</v>
      </c>
      <c r="C21" s="17">
        <v>41703</v>
      </c>
      <c r="D21">
        <v>100</v>
      </c>
    </row>
    <row r="22" spans="2:4" x14ac:dyDescent="0.25">
      <c r="B22" t="s">
        <v>140</v>
      </c>
      <c r="C22" s="17">
        <v>41705</v>
      </c>
      <c r="D22">
        <v>75</v>
      </c>
    </row>
    <row r="23" spans="2:4" x14ac:dyDescent="0.25">
      <c r="B23" t="s">
        <v>142</v>
      </c>
      <c r="C23" s="17">
        <v>41706</v>
      </c>
      <c r="D23">
        <v>50</v>
      </c>
    </row>
    <row r="24" spans="2:4" x14ac:dyDescent="0.25">
      <c r="B24" t="s">
        <v>140</v>
      </c>
      <c r="C24" s="17">
        <v>41709</v>
      </c>
      <c r="D24">
        <v>75</v>
      </c>
    </row>
    <row r="25" spans="2:4" x14ac:dyDescent="0.25">
      <c r="B25" t="s">
        <v>142</v>
      </c>
      <c r="C25" s="17">
        <v>41710</v>
      </c>
      <c r="D25">
        <v>100</v>
      </c>
    </row>
    <row r="26" spans="2:4" x14ac:dyDescent="0.25">
      <c r="B26" t="s">
        <v>143</v>
      </c>
      <c r="C26" s="17">
        <v>41710</v>
      </c>
      <c r="D26">
        <v>100</v>
      </c>
    </row>
    <row r="27" spans="2:4" x14ac:dyDescent="0.25">
      <c r="B27" t="s">
        <v>140</v>
      </c>
      <c r="C27" s="17">
        <v>41717</v>
      </c>
      <c r="D27">
        <v>50</v>
      </c>
    </row>
    <row r="28" spans="2:4" x14ac:dyDescent="0.25">
      <c r="B28" t="s">
        <v>142</v>
      </c>
      <c r="C28" s="17">
        <v>41717</v>
      </c>
      <c r="D28">
        <v>100</v>
      </c>
    </row>
    <row r="29" spans="2:4" x14ac:dyDescent="0.25">
      <c r="B29" t="s">
        <v>141</v>
      </c>
      <c r="C29" s="17">
        <v>41718</v>
      </c>
      <c r="D29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9"/>
  <sheetViews>
    <sheetView workbookViewId="0">
      <selection activeCell="B15" sqref="B15"/>
    </sheetView>
  </sheetViews>
  <sheetFormatPr defaultRowHeight="15" x14ac:dyDescent="0.25"/>
  <cols>
    <col min="2" max="2" width="15.7109375" customWidth="1"/>
    <col min="3" max="3" width="8.7109375" customWidth="1"/>
    <col min="4" max="4" width="4.7109375" customWidth="1"/>
    <col min="5" max="5" width="8.7109375" customWidth="1"/>
    <col min="7" max="7" width="15.7109375" customWidth="1"/>
    <col min="8" max="8" width="11.7109375" customWidth="1"/>
    <col min="9" max="9" width="8.7109375" customWidth="1"/>
  </cols>
  <sheetData>
    <row r="2" spans="2:10" x14ac:dyDescent="0.25">
      <c r="B2" s="15" t="s">
        <v>135</v>
      </c>
      <c r="G2" s="15"/>
    </row>
    <row r="3" spans="2:10" x14ac:dyDescent="0.25">
      <c r="G3" s="19" t="s">
        <v>145</v>
      </c>
    </row>
    <row r="4" spans="2:10" x14ac:dyDescent="0.25">
      <c r="B4" t="s">
        <v>139</v>
      </c>
      <c r="C4" s="16" t="s">
        <v>138</v>
      </c>
      <c r="D4" s="16"/>
      <c r="E4" s="16" t="s">
        <v>65</v>
      </c>
      <c r="G4" s="1" t="s">
        <v>136</v>
      </c>
      <c r="H4" s="1" t="s">
        <v>137</v>
      </c>
      <c r="I4" s="1" t="s">
        <v>138</v>
      </c>
      <c r="J4" s="1"/>
    </row>
    <row r="6" spans="2:10" x14ac:dyDescent="0.25">
      <c r="B6" t="s">
        <v>144</v>
      </c>
      <c r="C6">
        <f>SUM(C8:C29)</f>
        <v>1790</v>
      </c>
      <c r="E6">
        <f>SUM(E8:E29)</f>
        <v>24</v>
      </c>
      <c r="G6" t="s">
        <v>140</v>
      </c>
      <c r="H6" s="17">
        <v>41649</v>
      </c>
      <c r="I6">
        <v>50</v>
      </c>
    </row>
    <row r="7" spans="2:10" x14ac:dyDescent="0.25">
      <c r="G7" t="s">
        <v>140</v>
      </c>
      <c r="H7" s="17">
        <v>41650</v>
      </c>
      <c r="I7">
        <v>50</v>
      </c>
    </row>
    <row r="8" spans="2:10" x14ac:dyDescent="0.25">
      <c r="B8" t="s">
        <v>141</v>
      </c>
      <c r="C8">
        <f xml:space="preserve"> SUMIF($G$6:$G$500,B8,I$6:I$500)</f>
        <v>400</v>
      </c>
      <c r="E8">
        <f>COUNTIF($G$6:$G$500,B8)</f>
        <v>4</v>
      </c>
      <c r="G8" t="s">
        <v>141</v>
      </c>
      <c r="H8" s="17">
        <v>41654</v>
      </c>
      <c r="I8">
        <v>100</v>
      </c>
    </row>
    <row r="9" spans="2:10" x14ac:dyDescent="0.25">
      <c r="B9" t="s">
        <v>142</v>
      </c>
      <c r="C9">
        <f t="shared" ref="C9:C11" si="0" xml:space="preserve"> SUMIF($G$6:$G$500,B9,I$6:I$500)</f>
        <v>340</v>
      </c>
      <c r="E9">
        <f t="shared" ref="E9:E11" si="1">COUNTIF($G$6:$G$500,B9)</f>
        <v>5</v>
      </c>
      <c r="G9" t="s">
        <v>140</v>
      </c>
      <c r="H9" s="17">
        <v>41291</v>
      </c>
      <c r="I9">
        <v>50</v>
      </c>
    </row>
    <row r="10" spans="2:10" x14ac:dyDescent="0.25">
      <c r="B10" t="s">
        <v>140</v>
      </c>
      <c r="C10">
        <f t="shared" si="0"/>
        <v>850</v>
      </c>
      <c r="E10">
        <f t="shared" si="1"/>
        <v>13</v>
      </c>
      <c r="G10" t="s">
        <v>143</v>
      </c>
      <c r="H10" s="17">
        <v>41667</v>
      </c>
      <c r="I10">
        <v>100</v>
      </c>
    </row>
    <row r="11" spans="2:10" x14ac:dyDescent="0.25">
      <c r="B11" t="s">
        <v>143</v>
      </c>
      <c r="C11">
        <f t="shared" si="0"/>
        <v>200</v>
      </c>
      <c r="E11">
        <f t="shared" si="1"/>
        <v>2</v>
      </c>
      <c r="G11" t="s">
        <v>140</v>
      </c>
      <c r="H11" s="17">
        <v>41669</v>
      </c>
      <c r="I11" s="7">
        <v>50</v>
      </c>
      <c r="J11" s="18"/>
    </row>
    <row r="12" spans="2:10" x14ac:dyDescent="0.25">
      <c r="G12" t="s">
        <v>142</v>
      </c>
      <c r="H12" s="17">
        <v>41669</v>
      </c>
      <c r="I12">
        <v>50</v>
      </c>
    </row>
    <row r="13" spans="2:10" x14ac:dyDescent="0.25">
      <c r="G13" t="s">
        <v>140</v>
      </c>
      <c r="H13" s="17">
        <v>41669</v>
      </c>
      <c r="I13">
        <v>75</v>
      </c>
    </row>
    <row r="14" spans="2:10" x14ac:dyDescent="0.25">
      <c r="G14" t="s">
        <v>140</v>
      </c>
      <c r="H14" s="17">
        <v>41676</v>
      </c>
      <c r="I14">
        <v>100</v>
      </c>
    </row>
    <row r="15" spans="2:10" x14ac:dyDescent="0.25">
      <c r="G15" t="s">
        <v>141</v>
      </c>
      <c r="H15" s="17">
        <v>41680</v>
      </c>
      <c r="I15">
        <v>100</v>
      </c>
    </row>
    <row r="16" spans="2:10" x14ac:dyDescent="0.25">
      <c r="G16" t="s">
        <v>140</v>
      </c>
      <c r="H16" s="17">
        <v>41697</v>
      </c>
      <c r="I16">
        <v>75</v>
      </c>
    </row>
    <row r="17" spans="7:9" x14ac:dyDescent="0.25">
      <c r="G17" t="s">
        <v>142</v>
      </c>
      <c r="H17" s="17">
        <v>41697</v>
      </c>
      <c r="I17">
        <v>40</v>
      </c>
    </row>
    <row r="18" spans="7:9" x14ac:dyDescent="0.25">
      <c r="G18" t="s">
        <v>140</v>
      </c>
      <c r="H18" s="17">
        <v>41697</v>
      </c>
      <c r="I18">
        <v>100</v>
      </c>
    </row>
    <row r="19" spans="7:9" x14ac:dyDescent="0.25">
      <c r="G19" t="s">
        <v>140</v>
      </c>
      <c r="H19" s="17">
        <v>41698</v>
      </c>
      <c r="I19">
        <v>75</v>
      </c>
    </row>
    <row r="20" spans="7:9" x14ac:dyDescent="0.25">
      <c r="G20" t="s">
        <v>140</v>
      </c>
      <c r="H20" s="17">
        <v>41699</v>
      </c>
      <c r="I20">
        <v>25</v>
      </c>
    </row>
    <row r="21" spans="7:9" x14ac:dyDescent="0.25">
      <c r="G21" t="s">
        <v>141</v>
      </c>
      <c r="H21" s="17">
        <v>41703</v>
      </c>
      <c r="I21">
        <v>100</v>
      </c>
    </row>
    <row r="22" spans="7:9" x14ac:dyDescent="0.25">
      <c r="G22" t="s">
        <v>140</v>
      </c>
      <c r="H22" s="17">
        <v>41705</v>
      </c>
      <c r="I22">
        <v>75</v>
      </c>
    </row>
    <row r="23" spans="7:9" x14ac:dyDescent="0.25">
      <c r="G23" t="s">
        <v>142</v>
      </c>
      <c r="H23" s="17">
        <v>41706</v>
      </c>
      <c r="I23">
        <v>50</v>
      </c>
    </row>
    <row r="24" spans="7:9" x14ac:dyDescent="0.25">
      <c r="G24" t="s">
        <v>140</v>
      </c>
      <c r="H24" s="17">
        <v>41709</v>
      </c>
      <c r="I24">
        <v>75</v>
      </c>
    </row>
    <row r="25" spans="7:9" x14ac:dyDescent="0.25">
      <c r="G25" t="s">
        <v>142</v>
      </c>
      <c r="H25" s="17">
        <v>41710</v>
      </c>
      <c r="I25">
        <v>100</v>
      </c>
    </row>
    <row r="26" spans="7:9" x14ac:dyDescent="0.25">
      <c r="G26" t="s">
        <v>143</v>
      </c>
      <c r="H26" s="17">
        <v>41710</v>
      </c>
      <c r="I26">
        <v>100</v>
      </c>
    </row>
    <row r="27" spans="7:9" x14ac:dyDescent="0.25">
      <c r="G27" t="s">
        <v>140</v>
      </c>
      <c r="H27" s="17">
        <v>41717</v>
      </c>
      <c r="I27">
        <v>50</v>
      </c>
    </row>
    <row r="28" spans="7:9" x14ac:dyDescent="0.25">
      <c r="G28" t="s">
        <v>142</v>
      </c>
      <c r="H28" s="17">
        <v>41717</v>
      </c>
      <c r="I28">
        <v>100</v>
      </c>
    </row>
    <row r="29" spans="7:9" x14ac:dyDescent="0.25">
      <c r="G29" t="s">
        <v>141</v>
      </c>
      <c r="H29" s="17">
        <v>41718</v>
      </c>
      <c r="I29">
        <v>100</v>
      </c>
    </row>
  </sheetData>
  <dataValidations count="1">
    <dataValidation type="list" allowBlank="1" showInputMessage="1" showErrorMessage="1" sqref="G6:G34" xr:uid="{00000000-0002-0000-0600-000000000000}">
      <formula1>$B$8:$B$12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F35"/>
  <sheetViews>
    <sheetView topLeftCell="A22" zoomScale="113" zoomScaleNormal="10" workbookViewId="0"/>
  </sheetViews>
  <sheetFormatPr defaultRowHeight="15" x14ac:dyDescent="0.25"/>
  <cols>
    <col min="1" max="1" width="7.7109375" customWidth="1"/>
    <col min="2" max="2" width="7.140625" customWidth="1"/>
    <col min="3" max="3" width="15.7109375" customWidth="1"/>
    <col min="4" max="4" width="7" customWidth="1"/>
  </cols>
  <sheetData>
    <row r="1" spans="1:6" x14ac:dyDescent="0.25">
      <c r="A1" s="1" t="s">
        <v>0</v>
      </c>
      <c r="B1" t="s">
        <v>1</v>
      </c>
      <c r="C1" t="s">
        <v>2</v>
      </c>
      <c r="D1" s="1" t="s">
        <v>3</v>
      </c>
      <c r="E1" s="2" t="s">
        <v>4</v>
      </c>
      <c r="F1" s="2" t="s">
        <v>63</v>
      </c>
    </row>
    <row r="2" spans="1:6" x14ac:dyDescent="0.25">
      <c r="A2" s="1" t="s">
        <v>5</v>
      </c>
      <c r="B2">
        <v>100</v>
      </c>
      <c r="C2" t="s">
        <v>6</v>
      </c>
      <c r="D2" t="s">
        <v>7</v>
      </c>
      <c r="E2" s="5">
        <v>99</v>
      </c>
      <c r="F2">
        <v>125</v>
      </c>
    </row>
    <row r="3" spans="1:6" x14ac:dyDescent="0.25">
      <c r="A3" s="1" t="s">
        <v>5</v>
      </c>
      <c r="B3">
        <v>102</v>
      </c>
      <c r="C3" t="s">
        <v>10</v>
      </c>
      <c r="D3" t="s">
        <v>7</v>
      </c>
      <c r="E3" s="5">
        <v>86</v>
      </c>
      <c r="F3">
        <v>150</v>
      </c>
    </row>
    <row r="4" spans="1:6" x14ac:dyDescent="0.25">
      <c r="A4" s="1" t="s">
        <v>5</v>
      </c>
      <c r="B4">
        <v>103</v>
      </c>
      <c r="C4" t="s">
        <v>11</v>
      </c>
      <c r="D4" t="s">
        <v>7</v>
      </c>
      <c r="E4" s="5">
        <v>70</v>
      </c>
      <c r="F4">
        <v>175</v>
      </c>
    </row>
    <row r="5" spans="1:6" x14ac:dyDescent="0.25">
      <c r="A5" s="1" t="s">
        <v>5</v>
      </c>
      <c r="B5">
        <v>104</v>
      </c>
      <c r="C5" t="s">
        <v>12</v>
      </c>
      <c r="D5" t="s">
        <v>7</v>
      </c>
      <c r="E5" s="5">
        <v>86</v>
      </c>
      <c r="F5">
        <v>50</v>
      </c>
    </row>
    <row r="6" spans="1:6" x14ac:dyDescent="0.25">
      <c r="A6" s="1" t="s">
        <v>5</v>
      </c>
      <c r="B6">
        <v>106</v>
      </c>
      <c r="C6" t="s">
        <v>13</v>
      </c>
      <c r="D6" t="s">
        <v>7</v>
      </c>
      <c r="E6" s="5">
        <v>88</v>
      </c>
      <c r="F6" s="7">
        <v>100</v>
      </c>
    </row>
    <row r="7" spans="1:6" x14ac:dyDescent="0.25">
      <c r="A7" s="1" t="s">
        <v>5</v>
      </c>
      <c r="B7">
        <v>109</v>
      </c>
      <c r="C7" t="s">
        <v>15</v>
      </c>
      <c r="D7" t="s">
        <v>7</v>
      </c>
      <c r="E7" s="5">
        <v>81</v>
      </c>
      <c r="F7">
        <v>50</v>
      </c>
    </row>
    <row r="8" spans="1:6" x14ac:dyDescent="0.25">
      <c r="A8" s="1" t="s">
        <v>5</v>
      </c>
      <c r="B8">
        <v>111</v>
      </c>
      <c r="C8" t="s">
        <v>16</v>
      </c>
      <c r="D8" t="s">
        <v>7</v>
      </c>
      <c r="E8" s="5">
        <v>97</v>
      </c>
      <c r="F8">
        <v>75</v>
      </c>
    </row>
    <row r="9" spans="1:6" x14ac:dyDescent="0.25">
      <c r="A9" s="1" t="s">
        <v>5</v>
      </c>
      <c r="B9">
        <v>112</v>
      </c>
      <c r="C9" t="s">
        <v>17</v>
      </c>
      <c r="D9" t="s">
        <v>7</v>
      </c>
      <c r="E9" s="5">
        <v>94</v>
      </c>
      <c r="F9">
        <v>150</v>
      </c>
    </row>
    <row r="10" spans="1:6" x14ac:dyDescent="0.25">
      <c r="A10" s="1" t="s">
        <v>5</v>
      </c>
      <c r="B10">
        <v>113</v>
      </c>
      <c r="C10" t="s">
        <v>18</v>
      </c>
      <c r="D10" t="s">
        <v>7</v>
      </c>
      <c r="E10" s="5">
        <v>85</v>
      </c>
      <c r="F10">
        <v>125</v>
      </c>
    </row>
    <row r="11" spans="1:6" x14ac:dyDescent="0.25">
      <c r="A11" s="1" t="s">
        <v>5</v>
      </c>
      <c r="B11">
        <v>116</v>
      </c>
      <c r="C11" t="s">
        <v>19</v>
      </c>
      <c r="D11" t="s">
        <v>7</v>
      </c>
      <c r="E11" s="5">
        <v>77</v>
      </c>
      <c r="F11">
        <v>50</v>
      </c>
    </row>
    <row r="12" spans="1:6" x14ac:dyDescent="0.25">
      <c r="A12" s="1" t="s">
        <v>57</v>
      </c>
      <c r="B12">
        <v>320</v>
      </c>
      <c r="C12" t="s">
        <v>20</v>
      </c>
      <c r="D12" t="s">
        <v>7</v>
      </c>
      <c r="E12" s="5">
        <v>23</v>
      </c>
      <c r="F12">
        <v>50</v>
      </c>
    </row>
    <row r="13" spans="1:6" x14ac:dyDescent="0.25">
      <c r="A13" s="1" t="s">
        <v>57</v>
      </c>
      <c r="B13">
        <v>323</v>
      </c>
      <c r="C13" t="s">
        <v>23</v>
      </c>
      <c r="D13" t="s">
        <v>7</v>
      </c>
      <c r="E13" s="5">
        <v>12</v>
      </c>
      <c r="F13">
        <v>225</v>
      </c>
    </row>
    <row r="14" spans="1:6" x14ac:dyDescent="0.25">
      <c r="A14" s="1" t="s">
        <v>57</v>
      </c>
      <c r="B14">
        <v>331</v>
      </c>
      <c r="C14" t="s">
        <v>24</v>
      </c>
      <c r="D14" t="s">
        <v>7</v>
      </c>
      <c r="E14" s="5">
        <v>23</v>
      </c>
      <c r="F14">
        <v>150</v>
      </c>
    </row>
    <row r="15" spans="1:6" x14ac:dyDescent="0.25">
      <c r="A15" s="1" t="s">
        <v>57</v>
      </c>
      <c r="B15">
        <v>332</v>
      </c>
      <c r="C15" t="s">
        <v>25</v>
      </c>
      <c r="D15" t="s">
        <v>7</v>
      </c>
      <c r="E15" s="5">
        <v>3</v>
      </c>
      <c r="F15">
        <v>100</v>
      </c>
    </row>
    <row r="16" spans="1:6" x14ac:dyDescent="0.25">
      <c r="A16" s="1" t="s">
        <v>58</v>
      </c>
      <c r="B16">
        <v>573</v>
      </c>
      <c r="C16" t="s">
        <v>27</v>
      </c>
      <c r="D16" t="s">
        <v>7</v>
      </c>
      <c r="E16" s="5">
        <v>80</v>
      </c>
      <c r="F16">
        <v>100</v>
      </c>
    </row>
    <row r="17" spans="1:6" x14ac:dyDescent="0.25">
      <c r="A17" s="1" t="s">
        <v>58</v>
      </c>
      <c r="B17">
        <v>575</v>
      </c>
      <c r="C17" t="s">
        <v>29</v>
      </c>
      <c r="D17" t="s">
        <v>7</v>
      </c>
      <c r="E17" s="5">
        <v>2</v>
      </c>
      <c r="F17">
        <v>50</v>
      </c>
    </row>
    <row r="18" spans="1:6" x14ac:dyDescent="0.25">
      <c r="A18" s="1" t="s">
        <v>58</v>
      </c>
      <c r="B18">
        <v>578</v>
      </c>
      <c r="C18" t="s">
        <v>32</v>
      </c>
      <c r="D18" t="s">
        <v>7</v>
      </c>
      <c r="E18" s="5">
        <v>15</v>
      </c>
      <c r="F18">
        <v>100</v>
      </c>
    </row>
    <row r="19" spans="1:6" x14ac:dyDescent="0.25">
      <c r="A19" s="1" t="s">
        <v>58</v>
      </c>
      <c r="B19">
        <v>579</v>
      </c>
      <c r="C19" t="s">
        <v>33</v>
      </c>
      <c r="D19" t="s">
        <v>7</v>
      </c>
      <c r="E19" s="5">
        <v>1</v>
      </c>
      <c r="F19">
        <v>100</v>
      </c>
    </row>
    <row r="20" spans="1:6" x14ac:dyDescent="0.25">
      <c r="A20" s="1" t="s">
        <v>59</v>
      </c>
      <c r="B20" s="3">
        <v>230</v>
      </c>
      <c r="C20" s="3" t="s">
        <v>34</v>
      </c>
      <c r="D20" s="3" t="s">
        <v>7</v>
      </c>
      <c r="E20" s="6">
        <v>74</v>
      </c>
      <c r="F20">
        <v>75</v>
      </c>
    </row>
    <row r="21" spans="1:6" x14ac:dyDescent="0.25">
      <c r="A21" s="1" t="s">
        <v>59</v>
      </c>
      <c r="B21" s="3">
        <v>234</v>
      </c>
      <c r="C21" s="3" t="s">
        <v>38</v>
      </c>
      <c r="D21" s="3" t="s">
        <v>7</v>
      </c>
      <c r="E21" s="6">
        <v>75</v>
      </c>
      <c r="F21">
        <v>25</v>
      </c>
    </row>
    <row r="22" spans="1:6" x14ac:dyDescent="0.25">
      <c r="A22" s="1" t="s">
        <v>59</v>
      </c>
      <c r="B22" s="3">
        <v>235</v>
      </c>
      <c r="C22" s="3" t="s">
        <v>39</v>
      </c>
      <c r="D22" s="3" t="s">
        <v>7</v>
      </c>
      <c r="E22" s="6">
        <v>83</v>
      </c>
      <c r="F22">
        <v>100</v>
      </c>
    </row>
    <row r="23" spans="1:6" x14ac:dyDescent="0.25">
      <c r="A23" s="1" t="s">
        <v>59</v>
      </c>
      <c r="B23" s="3">
        <v>236</v>
      </c>
      <c r="C23" s="3" t="s">
        <v>40</v>
      </c>
      <c r="D23" s="3" t="s">
        <v>7</v>
      </c>
      <c r="E23" s="6">
        <v>81</v>
      </c>
      <c r="F23">
        <v>100</v>
      </c>
    </row>
    <row r="24" spans="1:6" x14ac:dyDescent="0.25">
      <c r="A24" s="1" t="s">
        <v>5</v>
      </c>
      <c r="B24">
        <v>101</v>
      </c>
      <c r="C24" t="s">
        <v>8</v>
      </c>
      <c r="D24" t="s">
        <v>9</v>
      </c>
      <c r="E24" s="5">
        <v>91</v>
      </c>
      <c r="F24">
        <v>50</v>
      </c>
    </row>
    <row r="25" spans="1:6" x14ac:dyDescent="0.25">
      <c r="A25" s="1" t="s">
        <v>5</v>
      </c>
      <c r="B25">
        <v>108</v>
      </c>
      <c r="C25" t="s">
        <v>14</v>
      </c>
      <c r="D25" t="s">
        <v>9</v>
      </c>
      <c r="E25" s="5">
        <v>76</v>
      </c>
      <c r="F25">
        <v>125</v>
      </c>
    </row>
    <row r="26" spans="1:6" x14ac:dyDescent="0.25">
      <c r="A26" s="1" t="s">
        <v>57</v>
      </c>
      <c r="B26">
        <v>321</v>
      </c>
      <c r="C26" t="s">
        <v>21</v>
      </c>
      <c r="D26" t="s">
        <v>9</v>
      </c>
      <c r="E26" s="5">
        <v>3</v>
      </c>
      <c r="F26">
        <v>100</v>
      </c>
    </row>
    <row r="27" spans="1:6" x14ac:dyDescent="0.25">
      <c r="A27" s="1" t="s">
        <v>57</v>
      </c>
      <c r="B27">
        <v>322</v>
      </c>
      <c r="C27" t="s">
        <v>22</v>
      </c>
      <c r="D27" t="s">
        <v>9</v>
      </c>
      <c r="E27" s="5">
        <v>4</v>
      </c>
      <c r="F27">
        <v>100</v>
      </c>
    </row>
    <row r="28" spans="1:6" x14ac:dyDescent="0.25">
      <c r="A28" s="1" t="s">
        <v>58</v>
      </c>
      <c r="B28">
        <v>572</v>
      </c>
      <c r="C28" t="s">
        <v>26</v>
      </c>
      <c r="D28" t="s">
        <v>9</v>
      </c>
      <c r="E28" s="5">
        <v>21</v>
      </c>
      <c r="F28">
        <v>100</v>
      </c>
    </row>
    <row r="29" spans="1:6" x14ac:dyDescent="0.25">
      <c r="A29" s="1" t="s">
        <v>58</v>
      </c>
      <c r="B29">
        <v>574</v>
      </c>
      <c r="C29" t="s">
        <v>28</v>
      </c>
      <c r="D29" t="s">
        <v>9</v>
      </c>
      <c r="E29" s="5">
        <v>9</v>
      </c>
      <c r="F29">
        <v>50</v>
      </c>
    </row>
    <row r="30" spans="1:6" x14ac:dyDescent="0.25">
      <c r="A30" s="1" t="s">
        <v>58</v>
      </c>
      <c r="B30">
        <v>576</v>
      </c>
      <c r="C30" t="s">
        <v>30</v>
      </c>
      <c r="D30" t="s">
        <v>9</v>
      </c>
      <c r="E30" s="5">
        <v>2</v>
      </c>
      <c r="F30">
        <v>200</v>
      </c>
    </row>
    <row r="31" spans="1:6" x14ac:dyDescent="0.25">
      <c r="A31" s="1" t="s">
        <v>58</v>
      </c>
      <c r="B31">
        <v>577</v>
      </c>
      <c r="C31" t="s">
        <v>31</v>
      </c>
      <c r="D31" t="s">
        <v>9</v>
      </c>
      <c r="E31" s="5">
        <v>16</v>
      </c>
      <c r="F31">
        <v>35</v>
      </c>
    </row>
    <row r="32" spans="1:6" x14ac:dyDescent="0.25">
      <c r="A32" s="1" t="s">
        <v>59</v>
      </c>
      <c r="B32" s="3">
        <v>231</v>
      </c>
      <c r="C32" s="3" t="s">
        <v>35</v>
      </c>
      <c r="D32" s="3" t="s">
        <v>9</v>
      </c>
      <c r="E32" s="6">
        <v>77</v>
      </c>
      <c r="F32">
        <v>100</v>
      </c>
    </row>
    <row r="33" spans="1:6" x14ac:dyDescent="0.25">
      <c r="A33" s="1" t="s">
        <v>59</v>
      </c>
      <c r="B33" s="3">
        <v>232</v>
      </c>
      <c r="C33" s="3" t="s">
        <v>36</v>
      </c>
      <c r="D33" s="3" t="s">
        <v>9</v>
      </c>
      <c r="E33" s="6">
        <v>20</v>
      </c>
      <c r="F33">
        <v>125</v>
      </c>
    </row>
    <row r="34" spans="1:6" x14ac:dyDescent="0.25">
      <c r="A34" s="1" t="s">
        <v>59</v>
      </c>
      <c r="B34" s="3">
        <v>233</v>
      </c>
      <c r="C34" s="3" t="s">
        <v>37</v>
      </c>
      <c r="D34" s="3" t="s">
        <v>9</v>
      </c>
      <c r="E34" s="6">
        <v>98</v>
      </c>
      <c r="F34">
        <v>100</v>
      </c>
    </row>
    <row r="35" spans="1:6" x14ac:dyDescent="0.25">
      <c r="A35" s="1" t="s">
        <v>59</v>
      </c>
      <c r="B35" s="3">
        <v>237</v>
      </c>
      <c r="C35" s="3" t="s">
        <v>41</v>
      </c>
      <c r="D35" s="3" t="s">
        <v>9</v>
      </c>
      <c r="E35" s="6">
        <v>66</v>
      </c>
      <c r="F35">
        <v>50</v>
      </c>
    </row>
  </sheetData>
  <sortState xmlns:xlrd2="http://schemas.microsoft.com/office/spreadsheetml/2017/richdata2" ref="A2:F35">
    <sortCondition ref="D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Name &amp; Add 1</vt:lpstr>
      <vt:lpstr>Name &amp; Add 2</vt:lpstr>
      <vt:lpstr>Trim</vt:lpstr>
      <vt:lpstr>Summary</vt:lpstr>
      <vt:lpstr>Baseinfo</vt:lpstr>
      <vt:lpstr>Expense 1</vt:lpstr>
      <vt:lpstr>Expense 2</vt:lpstr>
      <vt:lpstr>MacroDemo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 Albright</cp:lastModifiedBy>
  <dcterms:created xsi:type="dcterms:W3CDTF">2015-05-04T13:40:59Z</dcterms:created>
  <dcterms:modified xsi:type="dcterms:W3CDTF">2025-04-05T23:48:42Z</dcterms:modified>
</cp:coreProperties>
</file>